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14\"/>
    </mc:Choice>
  </mc:AlternateContent>
  <bookViews>
    <workbookView xWindow="-15" yWindow="-15" windowWidth="7395" windowHeight="9105"/>
  </bookViews>
  <sheets>
    <sheet name="Results" sheetId="1" r:id="rId1"/>
    <sheet name="Worksheet" sheetId="2" r:id="rId2"/>
  </sheets>
  <definedNames>
    <definedName name="_xlnm.Print_Area" localSheetId="0">Results!$A$1:$R$13</definedName>
  </definedNames>
  <calcPr calcId="152511"/>
</workbook>
</file>

<file path=xl/calcChain.xml><?xml version="1.0" encoding="utf-8"?>
<calcChain xmlns="http://schemas.openxmlformats.org/spreadsheetml/2006/main">
  <c r="P8" i="2" l="1"/>
  <c r="P7" i="2"/>
  <c r="P6" i="2"/>
  <c r="P5" i="2"/>
  <c r="P4" i="2"/>
  <c r="O6" i="2"/>
  <c r="O7" i="2"/>
  <c r="O8" i="2"/>
  <c r="O5" i="2"/>
  <c r="O4" i="2"/>
  <c r="N8" i="2"/>
  <c r="N7" i="2"/>
  <c r="N6" i="2"/>
  <c r="N5" i="2"/>
  <c r="N4" i="2"/>
  <c r="G8" i="2"/>
  <c r="G7" i="2"/>
  <c r="G6" i="2"/>
  <c r="G5" i="2"/>
  <c r="G4" i="2"/>
  <c r="F8" i="2"/>
  <c r="F7" i="2"/>
  <c r="F6" i="2"/>
  <c r="F5" i="2"/>
  <c r="F4" i="2"/>
  <c r="C8" i="2"/>
  <c r="C7" i="2"/>
  <c r="C6" i="2"/>
  <c r="C5" i="2"/>
  <c r="C4" i="2"/>
  <c r="B8" i="2"/>
  <c r="B7" i="2"/>
  <c r="B6" i="2"/>
  <c r="B5" i="2"/>
  <c r="B4" i="2"/>
  <c r="M5" i="2" l="1"/>
  <c r="J7" i="2"/>
  <c r="J8" i="2"/>
  <c r="S8" i="2" s="1"/>
  <c r="V8" i="2" s="1"/>
  <c r="M4" i="2"/>
  <c r="X8" i="2"/>
  <c r="X7" i="2"/>
  <c r="X6" i="2"/>
  <c r="X5" i="2"/>
  <c r="X4" i="2"/>
  <c r="E13" i="1"/>
  <c r="D13" i="1"/>
  <c r="C13" i="1"/>
  <c r="K8" i="2"/>
  <c r="H8" i="2"/>
  <c r="Q8" i="2" s="1"/>
  <c r="T8" i="2" s="1"/>
  <c r="W8" i="2" s="1"/>
  <c r="Y8" i="2" s="1"/>
  <c r="L12" i="1" s="1"/>
  <c r="I8" i="2"/>
  <c r="R8" i="2" s="1"/>
  <c r="U8" i="2" s="1"/>
  <c r="L8" i="2"/>
  <c r="M8" i="2"/>
  <c r="K7" i="2"/>
  <c r="H7" i="2"/>
  <c r="Q7" i="2"/>
  <c r="T7" i="2" s="1"/>
  <c r="W7" i="2" s="1"/>
  <c r="Y7" i="2" s="1"/>
  <c r="L11" i="1" s="1"/>
  <c r="I7" i="2"/>
  <c r="L7" i="2"/>
  <c r="R7" i="2"/>
  <c r="U7" i="2" s="1"/>
  <c r="M7" i="2"/>
  <c r="S7" i="2"/>
  <c r="V7" i="2" s="1"/>
  <c r="Q6" i="2"/>
  <c r="T6" i="2" s="1"/>
  <c r="W6" i="2" s="1"/>
  <c r="Y6" i="2" s="1"/>
  <c r="L10" i="1" s="1"/>
  <c r="K6" i="2"/>
  <c r="H6" i="2"/>
  <c r="I6" i="2"/>
  <c r="R6" i="2" s="1"/>
  <c r="U6" i="2" s="1"/>
  <c r="L6" i="2"/>
  <c r="J6" i="2"/>
  <c r="S6" i="2"/>
  <c r="V6" i="2" s="1"/>
  <c r="M6" i="2"/>
  <c r="K5" i="2"/>
  <c r="H5" i="2"/>
  <c r="Q5" i="2" s="1"/>
  <c r="T5" i="2" s="1"/>
  <c r="W5" i="2" s="1"/>
  <c r="Y5" i="2" s="1"/>
  <c r="L9" i="1" s="1"/>
  <c r="I5" i="2"/>
  <c r="R5" i="2" s="1"/>
  <c r="U5" i="2" s="1"/>
  <c r="L5" i="2"/>
  <c r="J5" i="2"/>
  <c r="S5" i="2" s="1"/>
  <c r="V5" i="2" s="1"/>
  <c r="K4" i="2"/>
  <c r="H4" i="2"/>
  <c r="Q4" i="2" s="1"/>
  <c r="T4" i="2" s="1"/>
  <c r="W4" i="2" s="1"/>
  <c r="Y4" i="2" s="1"/>
  <c r="L8" i="1" s="1"/>
  <c r="I4" i="2"/>
  <c r="R4" i="2" s="1"/>
  <c r="U4" i="2" s="1"/>
  <c r="L4" i="2"/>
  <c r="J4" i="2"/>
  <c r="S4" i="2"/>
  <c r="V4" i="2" s="1"/>
</calcChain>
</file>

<file path=xl/sharedStrings.xml><?xml version="1.0" encoding="utf-8"?>
<sst xmlns="http://schemas.openxmlformats.org/spreadsheetml/2006/main" count="97" uniqueCount="41">
  <si>
    <t>Fuel</t>
  </si>
  <si>
    <t>MEPR</t>
  </si>
  <si>
    <t>EEC_x</t>
  </si>
  <si>
    <t>EEC_r</t>
  </si>
  <si>
    <t>a</t>
  </si>
  <si>
    <t>b</t>
  </si>
  <si>
    <t>Cooling</t>
  </si>
  <si>
    <t>Heating</t>
  </si>
  <si>
    <t>gas</t>
  </si>
  <si>
    <t>Hot Water</t>
  </si>
  <si>
    <t>nMEUL</t>
  </si>
  <si>
    <t>DSE_r</t>
  </si>
  <si>
    <t>nEC_x</t>
  </si>
  <si>
    <t>Summer</t>
  </si>
  <si>
    <t>Winter</t>
  </si>
  <si>
    <t>(MBtu)</t>
  </si>
  <si>
    <t>Manufacturer's Equipment Performance Rating (MEPR)</t>
  </si>
  <si>
    <t>Test Case</t>
  </si>
  <si>
    <t>elec</t>
  </si>
  <si>
    <t>Coefficients</t>
  </si>
  <si>
    <t xml:space="preserve">Cooling </t>
  </si>
  <si>
    <t>TnML</t>
  </si>
  <si>
    <t>TRL</t>
  </si>
  <si>
    <t xml:space="preserve">  </t>
  </si>
  <si>
    <t xml:space="preserve"> </t>
  </si>
  <si>
    <t xml:space="preserve">REUL Tests: </t>
  </si>
  <si>
    <t>User input data fields indicated by pale yellow</t>
  </si>
  <si>
    <t>Test result fields indicated by pale green</t>
  </si>
  <si>
    <t xml:space="preserve">Software Name: </t>
  </si>
  <si>
    <t>Total Loads</t>
  </si>
  <si>
    <t>eRatio Tests</t>
  </si>
  <si>
    <t>eRatio</t>
  </si>
  <si>
    <t>Florida eRatio test</t>
  </si>
  <si>
    <t>Baseline Home End Use Energy Consumption (EC_r)</t>
  </si>
  <si>
    <t>Baseline Home End Use Loads (REUL)</t>
  </si>
  <si>
    <t>Proposed Home End Use Energy Consumption (EC_x)</t>
  </si>
  <si>
    <t>L130AO-02</t>
  </si>
  <si>
    <t>L130AO-01</t>
  </si>
  <si>
    <t>L130AO-03</t>
  </si>
  <si>
    <t>L130AO-04</t>
  </si>
  <si>
    <t>L130AO-05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</si>
</sst>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0.0000"/>
    <numFmt numFmtId="165" formatCode="0.0"/>
    <numFmt numFmtId="166" formatCode="0.000%"/>
  </numFmts>
  <fonts count="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</fills>
  <borders count="7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5" fillId="0" borderId="1" applyNumberFormat="0" applyFont="0" applyBorder="0" applyAlignment="0" applyProtection="0"/>
  </cellStyleXfs>
  <cellXfs count="116"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5" fontId="0" fillId="0" borderId="0" xfId="0" applyNumberFormat="1" applyAlignment="1"/>
    <xf numFmtId="166" fontId="0" fillId="0" borderId="0" xfId="0" applyNumberFormat="1" applyAlignment="1"/>
    <xf numFmtId="0" fontId="0" fillId="2" borderId="16" xfId="0" applyFill="1" applyBorder="1" applyAlignment="1">
      <alignment horizontal="centerContinuous"/>
    </xf>
    <xf numFmtId="0" fontId="0" fillId="2" borderId="17" xfId="0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0" fillId="3" borderId="16" xfId="0" applyFill="1" applyBorder="1" applyAlignment="1">
      <alignment horizontal="centerContinuous"/>
    </xf>
    <xf numFmtId="0" fontId="0" fillId="3" borderId="17" xfId="0" applyFill="1" applyBorder="1" applyAlignment="1">
      <alignment horizontal="centerContinuous"/>
    </xf>
    <xf numFmtId="165" fontId="0" fillId="3" borderId="17" xfId="0" applyNumberFormat="1" applyFill="1" applyBorder="1" applyAlignment="1">
      <alignment horizontal="centerContinuous"/>
    </xf>
    <xf numFmtId="0" fontId="0" fillId="3" borderId="15" xfId="0" applyFill="1" applyBorder="1" applyAlignment="1">
      <alignment horizontal="centerContinuous"/>
    </xf>
    <xf numFmtId="2" fontId="0" fillId="4" borderId="36" xfId="0" applyNumberFormat="1" applyFill="1" applyBorder="1" applyAlignment="1" applyProtection="1">
      <alignment horizontal="center"/>
      <protection locked="0"/>
    </xf>
    <xf numFmtId="2" fontId="0" fillId="4" borderId="37" xfId="0" applyNumberFormat="1" applyFill="1" applyBorder="1" applyAlignment="1" applyProtection="1">
      <alignment horizontal="center"/>
      <protection locked="0"/>
    </xf>
    <xf numFmtId="2" fontId="0" fillId="4" borderId="38" xfId="0" applyNumberFormat="1" applyFill="1" applyBorder="1" applyAlignment="1" applyProtection="1">
      <alignment horizontal="center"/>
      <protection locked="0"/>
    </xf>
    <xf numFmtId="2" fontId="0" fillId="4" borderId="39" xfId="0" applyNumberFormat="1" applyFill="1" applyBorder="1" applyAlignment="1" applyProtection="1">
      <alignment horizontal="center"/>
      <protection locked="0"/>
    </xf>
    <xf numFmtId="2" fontId="0" fillId="4" borderId="40" xfId="0" applyNumberFormat="1" applyFill="1" applyBorder="1" applyAlignment="1" applyProtection="1">
      <alignment horizontal="center"/>
      <protection locked="0"/>
    </xf>
    <xf numFmtId="2" fontId="0" fillId="4" borderId="41" xfId="0" applyNumberFormat="1" applyFill="1" applyBorder="1" applyAlignment="1" applyProtection="1">
      <alignment horizontal="center"/>
      <protection locked="0"/>
    </xf>
    <xf numFmtId="2" fontId="0" fillId="4" borderId="42" xfId="0" applyNumberFormat="1" applyFill="1" applyBorder="1" applyAlignment="1" applyProtection="1">
      <alignment horizontal="center"/>
      <protection locked="0"/>
    </xf>
    <xf numFmtId="2" fontId="0" fillId="4" borderId="43" xfId="0" applyNumberFormat="1" applyFill="1" applyBorder="1" applyAlignment="1" applyProtection="1">
      <alignment horizontal="center"/>
      <protection locked="0"/>
    </xf>
    <xf numFmtId="2" fontId="0" fillId="4" borderId="44" xfId="0" applyNumberFormat="1" applyFill="1" applyBorder="1" applyAlignment="1" applyProtection="1">
      <alignment horizontal="center"/>
      <protection locked="0"/>
    </xf>
    <xf numFmtId="2" fontId="0" fillId="4" borderId="45" xfId="0" applyNumberFormat="1" applyFill="1" applyBorder="1" applyAlignment="1" applyProtection="1">
      <alignment horizontal="center"/>
      <protection locked="0"/>
    </xf>
    <xf numFmtId="2" fontId="0" fillId="4" borderId="46" xfId="0" applyNumberFormat="1" applyFill="1" applyBorder="1" applyAlignment="1" applyProtection="1">
      <alignment horizontal="center"/>
      <protection locked="0"/>
    </xf>
    <xf numFmtId="2" fontId="0" fillId="4" borderId="47" xfId="0" applyNumberFormat="1" applyFill="1" applyBorder="1" applyAlignment="1" applyProtection="1">
      <alignment horizontal="center"/>
      <protection locked="0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/>
    <xf numFmtId="0" fontId="4" fillId="2" borderId="52" xfId="0" applyFont="1" applyFill="1" applyBorder="1" applyAlignment="1">
      <alignment horizontal="right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9" fontId="6" fillId="0" borderId="0" xfId="0" applyNumberFormat="1" applyFont="1" applyFill="1" applyBorder="1" applyAlignment="1" applyProtection="1">
      <alignment horizontal="center"/>
    </xf>
    <xf numFmtId="0" fontId="0" fillId="0" borderId="5" xfId="0" applyBorder="1" applyAlignment="1">
      <alignment horizontal="center" vertical="center"/>
    </xf>
    <xf numFmtId="0" fontId="0" fillId="0" borderId="58" xfId="0" applyBorder="1" applyAlignment="1"/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3" fillId="0" borderId="67" xfId="0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centerContinuous"/>
    </xf>
    <xf numFmtId="0" fontId="0" fillId="0" borderId="19" xfId="0" applyBorder="1" applyAlignment="1" applyProtection="1">
      <alignment horizontal="centerContinuous"/>
    </xf>
    <xf numFmtId="0" fontId="0" fillId="0" borderId="28" xfId="0" applyBorder="1" applyAlignment="1" applyProtection="1">
      <alignment horizontal="centerContinuous"/>
    </xf>
    <xf numFmtId="0" fontId="0" fillId="0" borderId="72" xfId="0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0" borderId="70" xfId="0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68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Continuous"/>
    </xf>
    <xf numFmtId="0" fontId="0" fillId="0" borderId="17" xfId="0" applyBorder="1" applyAlignment="1" applyProtection="1">
      <alignment horizontal="centerContinuous"/>
    </xf>
    <xf numFmtId="0" fontId="0" fillId="0" borderId="15" xfId="0" applyBorder="1" applyAlignment="1" applyProtection="1">
      <alignment horizontal="centerContinuous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 wrapText="1"/>
    </xf>
    <xf numFmtId="0" fontId="0" fillId="0" borderId="69" xfId="0" applyBorder="1" applyAlignment="1" applyProtection="1">
      <alignment horizontal="left" vertical="center" wrapText="1"/>
    </xf>
    <xf numFmtId="0" fontId="0" fillId="0" borderId="13" xfId="0" applyFill="1" applyBorder="1" applyAlignment="1" applyProtection="1">
      <alignment horizontal="centerContinuous"/>
    </xf>
    <xf numFmtId="0" fontId="0" fillId="0" borderId="14" xfId="0" applyFill="1" applyBorder="1" applyAlignment="1" applyProtection="1">
      <alignment horizontal="centerContinuous"/>
    </xf>
    <xf numFmtId="0" fontId="0" fillId="0" borderId="33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/>
    </xf>
    <xf numFmtId="164" fontId="0" fillId="0" borderId="32" xfId="0" applyNumberFormat="1" applyBorder="1" applyAlignment="1" applyProtection="1"/>
    <xf numFmtId="164" fontId="0" fillId="0" borderId="0" xfId="0" applyNumberFormat="1" applyBorder="1" applyAlignment="1" applyProtection="1"/>
    <xf numFmtId="164" fontId="0" fillId="0" borderId="25" xfId="0" applyNumberFormat="1" applyBorder="1" applyAlignment="1" applyProtection="1"/>
    <xf numFmtId="164" fontId="0" fillId="0" borderId="22" xfId="0" applyNumberFormat="1" applyBorder="1" applyAlignment="1" applyProtection="1"/>
    <xf numFmtId="164" fontId="0" fillId="0" borderId="2" xfId="0" applyNumberFormat="1" applyBorder="1" applyAlignment="1" applyProtection="1"/>
    <xf numFmtId="164" fontId="0" fillId="0" borderId="29" xfId="0" applyNumberFormat="1" applyBorder="1" applyAlignment="1" applyProtection="1"/>
    <xf numFmtId="2" fontId="0" fillId="0" borderId="31" xfId="0" applyNumberFormat="1" applyBorder="1" applyAlignment="1" applyProtection="1"/>
    <xf numFmtId="164" fontId="3" fillId="0" borderId="29" xfId="0" applyNumberFormat="1" applyFont="1" applyBorder="1" applyAlignment="1" applyProtection="1"/>
    <xf numFmtId="164" fontId="3" fillId="0" borderId="2" xfId="0" applyNumberFormat="1" applyFont="1" applyBorder="1" applyAlignment="1" applyProtection="1"/>
    <xf numFmtId="164" fontId="0" fillId="0" borderId="0" xfId="0" applyNumberFormat="1" applyAlignment="1" applyProtection="1"/>
    <xf numFmtId="0" fontId="0" fillId="0" borderId="21" xfId="0" applyBorder="1" applyAlignment="1" applyProtection="1">
      <alignment horizontal="center"/>
    </xf>
    <xf numFmtId="164" fontId="0" fillId="0" borderId="23" xfId="0" applyNumberFormat="1" applyBorder="1" applyAlignment="1" applyProtection="1"/>
    <xf numFmtId="164" fontId="0" fillId="0" borderId="27" xfId="0" applyNumberFormat="1" applyBorder="1" applyAlignment="1" applyProtection="1"/>
    <xf numFmtId="164" fontId="0" fillId="0" borderId="26" xfId="0" applyNumberFormat="1" applyBorder="1" applyAlignment="1" applyProtection="1"/>
    <xf numFmtId="164" fontId="0" fillId="0" borderId="24" xfId="0" applyNumberFormat="1" applyBorder="1" applyAlignment="1" applyProtection="1"/>
    <xf numFmtId="164" fontId="0" fillId="0" borderId="30" xfId="0" applyNumberFormat="1" applyBorder="1" applyAlignment="1" applyProtection="1"/>
    <xf numFmtId="2" fontId="0" fillId="0" borderId="34" xfId="0" applyNumberFormat="1" applyBorder="1" applyAlignment="1" applyProtection="1"/>
    <xf numFmtId="0" fontId="0" fillId="0" borderId="0" xfId="0" applyFill="1" applyAlignment="1" applyProtection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E29" sqref="E29"/>
    </sheetView>
  </sheetViews>
  <sheetFormatPr defaultRowHeight="12.75" x14ac:dyDescent="0.2"/>
  <cols>
    <col min="1" max="1" width="11.28515625" customWidth="1"/>
    <col min="2" max="2" width="7.7109375" customWidth="1"/>
    <col min="3" max="11" width="8.7109375" customWidth="1"/>
    <col min="12" max="12" width="8.5703125" customWidth="1"/>
    <col min="13" max="18" width="7.7109375" customWidth="1"/>
  </cols>
  <sheetData>
    <row r="1" spans="1:18" x14ac:dyDescent="0.2">
      <c r="A1" s="25" t="s">
        <v>32</v>
      </c>
      <c r="E1" s="23" t="s">
        <v>28</v>
      </c>
      <c r="F1" s="64"/>
      <c r="G1" s="65"/>
      <c r="H1" s="66"/>
    </row>
    <row r="2" spans="1:18" x14ac:dyDescent="0.2">
      <c r="A2" s="23"/>
      <c r="B2" s="23"/>
      <c r="C2" s="24"/>
      <c r="D2" s="24"/>
      <c r="E2" s="24"/>
    </row>
    <row r="3" spans="1:18" x14ac:dyDescent="0.2">
      <c r="A3" s="26" t="s">
        <v>26</v>
      </c>
      <c r="B3" s="27"/>
      <c r="C3" s="28"/>
      <c r="D3" s="27"/>
      <c r="E3" s="29"/>
    </row>
    <row r="4" spans="1:18" ht="13.5" thickBot="1" x14ac:dyDescent="0.25">
      <c r="A4" s="18" t="s">
        <v>27</v>
      </c>
      <c r="B4" s="19"/>
      <c r="C4" s="20"/>
      <c r="D4" s="18"/>
      <c r="E4" s="20"/>
    </row>
    <row r="5" spans="1:18" ht="26.25" customHeight="1" x14ac:dyDescent="0.2">
      <c r="A5" s="67" t="s">
        <v>17</v>
      </c>
      <c r="B5" s="55" t="s">
        <v>31</v>
      </c>
      <c r="C5" s="71" t="s">
        <v>34</v>
      </c>
      <c r="D5" s="72"/>
      <c r="E5" s="72"/>
      <c r="F5" s="71" t="s">
        <v>33</v>
      </c>
      <c r="G5" s="72"/>
      <c r="H5" s="72"/>
      <c r="I5" s="58" t="s">
        <v>35</v>
      </c>
      <c r="J5" s="59"/>
      <c r="K5" s="59"/>
      <c r="L5" s="61" t="s">
        <v>30</v>
      </c>
      <c r="M5" s="58" t="s">
        <v>16</v>
      </c>
      <c r="N5" s="59"/>
      <c r="O5" s="59"/>
      <c r="P5" s="59"/>
      <c r="Q5" s="59"/>
      <c r="R5" s="60"/>
    </row>
    <row r="6" spans="1:18" x14ac:dyDescent="0.2">
      <c r="A6" s="68"/>
      <c r="B6" s="56"/>
      <c r="C6" s="3" t="s">
        <v>14</v>
      </c>
      <c r="D6" s="4" t="s">
        <v>13</v>
      </c>
      <c r="E6" s="21" t="s">
        <v>9</v>
      </c>
      <c r="F6" s="3" t="s">
        <v>7</v>
      </c>
      <c r="G6" s="4" t="s">
        <v>6</v>
      </c>
      <c r="H6" s="21" t="s">
        <v>9</v>
      </c>
      <c r="I6" s="3" t="s">
        <v>7</v>
      </c>
      <c r="J6" s="4" t="s">
        <v>6</v>
      </c>
      <c r="K6" s="21" t="s">
        <v>9</v>
      </c>
      <c r="L6" s="62"/>
      <c r="M6" s="70" t="s">
        <v>7</v>
      </c>
      <c r="N6" s="53"/>
      <c r="O6" s="53" t="s">
        <v>6</v>
      </c>
      <c r="P6" s="53"/>
      <c r="Q6" s="53" t="s">
        <v>9</v>
      </c>
      <c r="R6" s="54"/>
    </row>
    <row r="7" spans="1:18" ht="13.5" thickBot="1" x14ac:dyDescent="0.25">
      <c r="A7" s="69"/>
      <c r="B7" s="57"/>
      <c r="C7" s="5" t="s">
        <v>15</v>
      </c>
      <c r="D7" s="6" t="s">
        <v>15</v>
      </c>
      <c r="E7" s="22" t="s">
        <v>15</v>
      </c>
      <c r="F7" s="5" t="s">
        <v>15</v>
      </c>
      <c r="G7" s="6" t="s">
        <v>15</v>
      </c>
      <c r="H7" s="22" t="s">
        <v>15</v>
      </c>
      <c r="I7" s="5" t="s">
        <v>15</v>
      </c>
      <c r="J7" s="6" t="s">
        <v>15</v>
      </c>
      <c r="K7" s="22" t="s">
        <v>15</v>
      </c>
      <c r="L7" s="63"/>
      <c r="M7" s="11" t="s">
        <v>0</v>
      </c>
      <c r="N7" s="12" t="s">
        <v>1</v>
      </c>
      <c r="O7" s="12" t="s">
        <v>0</v>
      </c>
      <c r="P7" s="12" t="s">
        <v>1</v>
      </c>
      <c r="Q7" s="12" t="s">
        <v>0</v>
      </c>
      <c r="R7" s="13" t="s">
        <v>1</v>
      </c>
    </row>
    <row r="8" spans="1:18" x14ac:dyDescent="0.2">
      <c r="A8" s="1" t="s">
        <v>37</v>
      </c>
      <c r="B8" s="30"/>
      <c r="C8" s="31"/>
      <c r="D8" s="32"/>
      <c r="E8" s="33"/>
      <c r="F8" s="31"/>
      <c r="G8" s="32"/>
      <c r="H8" s="33"/>
      <c r="I8" s="31"/>
      <c r="J8" s="32"/>
      <c r="K8" s="33"/>
      <c r="L8" s="43" t="e">
        <f>IF((ABS(Results!B8-Worksheet!Y4)/Results!B8&lt;0.005),"PASS","FAIL")</f>
        <v>#DIV/0!</v>
      </c>
      <c r="M8" s="7" t="s">
        <v>18</v>
      </c>
      <c r="N8" s="14">
        <v>7.7</v>
      </c>
      <c r="O8" s="8" t="s">
        <v>18</v>
      </c>
      <c r="P8" s="14">
        <v>13</v>
      </c>
      <c r="Q8" s="8" t="s">
        <v>18</v>
      </c>
      <c r="R8" s="50">
        <v>0.92</v>
      </c>
    </row>
    <row r="9" spans="1:18" x14ac:dyDescent="0.2">
      <c r="A9" s="1" t="s">
        <v>36</v>
      </c>
      <c r="B9" s="34"/>
      <c r="C9" s="35"/>
      <c r="D9" s="36"/>
      <c r="E9" s="37"/>
      <c r="F9" s="35"/>
      <c r="G9" s="36"/>
      <c r="H9" s="37"/>
      <c r="I9" s="35"/>
      <c r="J9" s="36"/>
      <c r="K9" s="37"/>
      <c r="L9" s="42" t="e">
        <f>IF((ABS(Results!B9-Worksheet!Y5)/Results!B9&lt;0.005),"PASS","FAIL")</f>
        <v>#DIV/0!</v>
      </c>
      <c r="M9" s="7" t="s">
        <v>18</v>
      </c>
      <c r="N9" s="14">
        <v>7.7</v>
      </c>
      <c r="O9" s="8" t="s">
        <v>18</v>
      </c>
      <c r="P9" s="14">
        <v>13</v>
      </c>
      <c r="Q9" s="8" t="s">
        <v>8</v>
      </c>
      <c r="R9" s="50">
        <v>0.82</v>
      </c>
    </row>
    <row r="10" spans="1:18" x14ac:dyDescent="0.2">
      <c r="A10" s="1" t="s">
        <v>38</v>
      </c>
      <c r="B10" s="34"/>
      <c r="C10" s="35"/>
      <c r="D10" s="36"/>
      <c r="E10" s="37"/>
      <c r="F10" s="35"/>
      <c r="G10" s="36"/>
      <c r="H10" s="37"/>
      <c r="I10" s="35"/>
      <c r="J10" s="36"/>
      <c r="K10" s="37"/>
      <c r="L10" s="42" t="e">
        <f>IF((ABS(Results!B10-Worksheet!Y6)/Results!B10&lt;0.005),"PASS","FAIL")</f>
        <v>#DIV/0!</v>
      </c>
      <c r="M10" s="7" t="s">
        <v>8</v>
      </c>
      <c r="N10" s="9">
        <v>0.78</v>
      </c>
      <c r="O10" s="8" t="s">
        <v>18</v>
      </c>
      <c r="P10" s="14">
        <v>13</v>
      </c>
      <c r="Q10" s="8" t="s">
        <v>18</v>
      </c>
      <c r="R10" s="50">
        <v>0.92</v>
      </c>
    </row>
    <row r="11" spans="1:18" x14ac:dyDescent="0.2">
      <c r="A11" s="1" t="s">
        <v>39</v>
      </c>
      <c r="B11" s="34"/>
      <c r="C11" s="35"/>
      <c r="D11" s="36"/>
      <c r="E11" s="37"/>
      <c r="F11" s="35"/>
      <c r="G11" s="36"/>
      <c r="H11" s="37"/>
      <c r="I11" s="35"/>
      <c r="J11" s="36"/>
      <c r="K11" s="37"/>
      <c r="L11" s="42" t="e">
        <f>IF((ABS(Results!B11-Worksheet!Y7)/Results!B11&lt;0.005),"PASS","FAIL")</f>
        <v>#DIV/0!</v>
      </c>
      <c r="M11" s="7" t="s">
        <v>18</v>
      </c>
      <c r="N11" s="14">
        <v>10</v>
      </c>
      <c r="O11" s="8" t="s">
        <v>18</v>
      </c>
      <c r="P11" s="14">
        <v>17</v>
      </c>
      <c r="Q11" s="8" t="s">
        <v>18</v>
      </c>
      <c r="R11" s="50">
        <v>0.92</v>
      </c>
    </row>
    <row r="12" spans="1:18" ht="13.5" thickBot="1" x14ac:dyDescent="0.25">
      <c r="A12" s="2" t="s">
        <v>40</v>
      </c>
      <c r="B12" s="38"/>
      <c r="C12" s="39"/>
      <c r="D12" s="40"/>
      <c r="E12" s="41"/>
      <c r="F12" s="39"/>
      <c r="G12" s="40"/>
      <c r="H12" s="41"/>
      <c r="I12" s="39"/>
      <c r="J12" s="40"/>
      <c r="K12" s="41"/>
      <c r="L12" s="44" t="e">
        <f>IF((ABS(Results!B12-Worksheet!Y8)/Results!B12&lt;0.005),"PASS","FAIL")</f>
        <v>#DIV/0!</v>
      </c>
      <c r="M12" s="5" t="s">
        <v>8</v>
      </c>
      <c r="N12" s="10">
        <v>0.96</v>
      </c>
      <c r="O12" s="6" t="s">
        <v>18</v>
      </c>
      <c r="P12" s="15">
        <v>13</v>
      </c>
      <c r="Q12" s="6" t="s">
        <v>18</v>
      </c>
      <c r="R12" s="51">
        <v>0.92</v>
      </c>
    </row>
    <row r="13" spans="1:18" ht="13.5" thickBot="1" x14ac:dyDescent="0.25">
      <c r="A13" s="45"/>
      <c r="B13" s="46" t="s">
        <v>25</v>
      </c>
      <c r="C13" s="47" t="e">
        <f>IF(((MAX(C8:C12)-MIN(C8:C12))/MIN(C8:C12))&lt;0.002, "PASS", "FAIL")</f>
        <v>#DIV/0!</v>
      </c>
      <c r="D13" s="48" t="e">
        <f>IF(((MAX(D8:D12)-MIN(D8:D12))/MIN(D8:D12))&lt;0.002, "PASS", "FAIL")</f>
        <v>#DIV/0!</v>
      </c>
      <c r="E13" s="49" t="e">
        <f>IF(((MAX(E8:E12)-MIN(E8:E12))/MIN(E8:E12))&lt;0.002, "PASS", "FAIL")</f>
        <v>#DIV/0!</v>
      </c>
    </row>
    <row r="17" spans="3:3" x14ac:dyDescent="0.2">
      <c r="C17" s="16"/>
    </row>
    <row r="18" spans="3:3" x14ac:dyDescent="0.2">
      <c r="C18" s="17"/>
    </row>
  </sheetData>
  <sheetProtection password="BDDF" sheet="1"/>
  <mergeCells count="11">
    <mergeCell ref="A5:A7"/>
    <mergeCell ref="M6:N6"/>
    <mergeCell ref="O6:P6"/>
    <mergeCell ref="C5:E5"/>
    <mergeCell ref="F5:H5"/>
    <mergeCell ref="I5:K5"/>
    <mergeCell ref="Q6:R6"/>
    <mergeCell ref="B5:B7"/>
    <mergeCell ref="M5:R5"/>
    <mergeCell ref="L5:L7"/>
    <mergeCell ref="F1:H1"/>
  </mergeCells>
  <phoneticPr fontId="0" type="noConversion"/>
  <pageMargins left="0.75" right="0.75" top="1" bottom="1" header="0.5" footer="0.5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L23" sqref="L23"/>
    </sheetView>
  </sheetViews>
  <sheetFormatPr defaultRowHeight="12.75" x14ac:dyDescent="0.2"/>
  <cols>
    <col min="1" max="1" width="6.7109375" style="80" customWidth="1"/>
    <col min="2" max="5" width="9.140625" style="80"/>
    <col min="6" max="6" width="9.28515625" style="80" customWidth="1"/>
    <col min="7" max="16384" width="9.140625" style="80"/>
  </cols>
  <sheetData>
    <row r="1" spans="1:25" ht="13.5" thickTop="1" x14ac:dyDescent="0.2">
      <c r="A1" s="73" t="s">
        <v>17</v>
      </c>
      <c r="B1" s="74" t="s">
        <v>19</v>
      </c>
      <c r="C1" s="75"/>
      <c r="D1" s="75"/>
      <c r="E1" s="75"/>
      <c r="F1" s="75"/>
      <c r="G1" s="75"/>
      <c r="H1" s="74" t="s">
        <v>11</v>
      </c>
      <c r="I1" s="75"/>
      <c r="J1" s="75"/>
      <c r="K1" s="74" t="s">
        <v>2</v>
      </c>
      <c r="L1" s="75"/>
      <c r="M1" s="76"/>
      <c r="N1" s="75" t="s">
        <v>3</v>
      </c>
      <c r="O1" s="75"/>
      <c r="P1" s="75"/>
      <c r="Q1" s="74" t="s">
        <v>12</v>
      </c>
      <c r="R1" s="75"/>
      <c r="S1" s="75"/>
      <c r="T1" s="74" t="s">
        <v>10</v>
      </c>
      <c r="U1" s="75"/>
      <c r="V1" s="75"/>
      <c r="W1" s="77" t="s">
        <v>29</v>
      </c>
      <c r="X1" s="78"/>
      <c r="Y1" s="79" t="s">
        <v>31</v>
      </c>
    </row>
    <row r="2" spans="1:25" x14ac:dyDescent="0.2">
      <c r="A2" s="81"/>
      <c r="B2" s="82" t="s">
        <v>7</v>
      </c>
      <c r="C2" s="83"/>
      <c r="D2" s="82" t="s">
        <v>6</v>
      </c>
      <c r="E2" s="84"/>
      <c r="F2" s="83" t="s">
        <v>9</v>
      </c>
      <c r="G2" s="83"/>
      <c r="H2" s="85" t="s">
        <v>7</v>
      </c>
      <c r="I2" s="86" t="s">
        <v>20</v>
      </c>
      <c r="J2" s="86" t="s">
        <v>9</v>
      </c>
      <c r="K2" s="85" t="s">
        <v>7</v>
      </c>
      <c r="L2" s="86" t="s">
        <v>20</v>
      </c>
      <c r="M2" s="87" t="s">
        <v>9</v>
      </c>
      <c r="N2" s="86" t="s">
        <v>7</v>
      </c>
      <c r="O2" s="86" t="s">
        <v>20</v>
      </c>
      <c r="P2" s="86" t="s">
        <v>9</v>
      </c>
      <c r="Q2" s="85" t="s">
        <v>7</v>
      </c>
      <c r="R2" s="86" t="s">
        <v>20</v>
      </c>
      <c r="S2" s="86" t="s">
        <v>9</v>
      </c>
      <c r="T2" s="85" t="s">
        <v>7</v>
      </c>
      <c r="U2" s="86" t="s">
        <v>20</v>
      </c>
      <c r="V2" s="86" t="s">
        <v>9</v>
      </c>
      <c r="W2" s="85" t="s">
        <v>21</v>
      </c>
      <c r="X2" s="87" t="s">
        <v>22</v>
      </c>
      <c r="Y2" s="88"/>
    </row>
    <row r="3" spans="1:25" ht="13.5" thickBot="1" x14ac:dyDescent="0.25">
      <c r="A3" s="89"/>
      <c r="B3" s="90" t="s">
        <v>4</v>
      </c>
      <c r="C3" s="91" t="s">
        <v>5</v>
      </c>
      <c r="D3" s="90" t="s">
        <v>4</v>
      </c>
      <c r="E3" s="92" t="s">
        <v>5</v>
      </c>
      <c r="F3" s="91" t="s">
        <v>4</v>
      </c>
      <c r="G3" s="91" t="s">
        <v>5</v>
      </c>
      <c r="H3" s="93"/>
      <c r="I3" s="94"/>
      <c r="J3" s="94"/>
      <c r="K3" s="93"/>
      <c r="L3" s="94"/>
      <c r="M3" s="95"/>
      <c r="N3" s="94"/>
      <c r="O3" s="94"/>
      <c r="P3" s="94"/>
      <c r="Q3" s="93"/>
      <c r="R3" s="94"/>
      <c r="S3" s="94"/>
      <c r="T3" s="93"/>
      <c r="U3" s="94"/>
      <c r="V3" s="94"/>
      <c r="W3" s="93"/>
      <c r="X3" s="95"/>
      <c r="Y3" s="96"/>
    </row>
    <row r="4" spans="1:25" x14ac:dyDescent="0.2">
      <c r="A4" s="97">
        <v>1</v>
      </c>
      <c r="B4" s="98">
        <f>IF(Results!M8="gas",1.037,2.4026)</f>
        <v>2.4026000000000001</v>
      </c>
      <c r="C4" s="99">
        <f>IF(Results!M8="gas",0.2962,0)</f>
        <v>0</v>
      </c>
      <c r="D4" s="100">
        <v>3.8090000000000002</v>
      </c>
      <c r="E4" s="101">
        <v>0</v>
      </c>
      <c r="F4" s="99">
        <f>IF(Results!Q8="gas",1.3774,0.95)</f>
        <v>0.95</v>
      </c>
      <c r="G4" s="99">
        <f>IF(Results!Q8="gas",1.2217,0)</f>
        <v>0</v>
      </c>
      <c r="H4" s="102" t="e">
        <f>Results!C8/Results!F8*Worksheet!N4</f>
        <v>#DIV/0!</v>
      </c>
      <c r="I4" s="99" t="e">
        <f>Results!D8/Results!G8*Worksheet!O4</f>
        <v>#DIV/0!</v>
      </c>
      <c r="J4" s="99" t="e">
        <f>Results!E8/Results!H8*Worksheet!P4</f>
        <v>#DIV/0!</v>
      </c>
      <c r="K4" s="102">
        <f>IF(Results!M8="gas",1/Results!N8,3.413/Results!N8)</f>
        <v>0.44324675324675322</v>
      </c>
      <c r="L4" s="99">
        <f>3.413/Results!P8</f>
        <v>0.2625384615384615</v>
      </c>
      <c r="M4" s="103">
        <f>1/(Results!R8)</f>
        <v>1.0869565217391304</v>
      </c>
      <c r="N4" s="99">
        <f>IF(+Results!M8="gas",1/0.8,3.413/8.2)</f>
        <v>0.41621951219512199</v>
      </c>
      <c r="O4" s="99">
        <f>3.413/14</f>
        <v>0.24378571428571427</v>
      </c>
      <c r="P4" s="99">
        <f>IF(+Results!Q8="gas",1/0.62,1/0.95)</f>
        <v>1.0526315789473684</v>
      </c>
      <c r="Q4" s="102" t="e">
        <f>(B4*K4-C4)*(Results!I8*Results!F8*Worksheet!H4)/(Worksheet!K4*Results!C8)</f>
        <v>#DIV/0!</v>
      </c>
      <c r="R4" s="99" t="e">
        <f>(D4*L4-E4)*(Results!J8*Results!G8*Worksheet!I4)/(Worksheet!L4*Results!D8)</f>
        <v>#DIV/0!</v>
      </c>
      <c r="S4" s="99" t="e">
        <f>(F4*M4-G4)*(Results!K8*Results!H8*Worksheet!J4)/(Worksheet!M4*Results!E8)</f>
        <v>#DIV/0!</v>
      </c>
      <c r="T4" s="102" t="e">
        <f>Results!C8*(Worksheet!Q4/Results!F8)</f>
        <v>#DIV/0!</v>
      </c>
      <c r="U4" s="99" t="e">
        <f>Results!D8*(Worksheet!R4/Results!G8)</f>
        <v>#DIV/0!</v>
      </c>
      <c r="V4" s="99" t="e">
        <f>Results!E8*(Worksheet!S4/Results!H8)</f>
        <v>#DIV/0!</v>
      </c>
      <c r="W4" s="102" t="e">
        <f>SUM(T4:V4)</f>
        <v>#DIV/0!</v>
      </c>
      <c r="X4" s="103">
        <f>SUM(Results!C8:E8)</f>
        <v>0</v>
      </c>
      <c r="Y4" s="104" t="e">
        <f>100*W4/X4</f>
        <v>#DIV/0!</v>
      </c>
    </row>
    <row r="5" spans="1:25" x14ac:dyDescent="0.2">
      <c r="A5" s="97">
        <v>2</v>
      </c>
      <c r="B5" s="102">
        <f>IF(Results!M9="gas",1.037,2.4026)</f>
        <v>2.4026000000000001</v>
      </c>
      <c r="C5" s="99">
        <f>IF(Results!M9="gas",0.2962,0)</f>
        <v>0</v>
      </c>
      <c r="D5" s="100">
        <v>3.8090000000000002</v>
      </c>
      <c r="E5" s="101">
        <v>0</v>
      </c>
      <c r="F5" s="99">
        <f>IF(Results!Q9="gas",1.3774,0.95)</f>
        <v>1.3774</v>
      </c>
      <c r="G5" s="99">
        <f>IF(Results!Q9="gas",1.2217,0)</f>
        <v>1.2217</v>
      </c>
      <c r="H5" s="102" t="e">
        <f>Results!C9/Results!F9*Worksheet!N5</f>
        <v>#DIV/0!</v>
      </c>
      <c r="I5" s="99" t="e">
        <f>Results!D9/Results!G9*Worksheet!O5</f>
        <v>#DIV/0!</v>
      </c>
      <c r="J5" s="99" t="e">
        <f>Results!E9/Results!H9*Worksheet!P5</f>
        <v>#DIV/0!</v>
      </c>
      <c r="K5" s="102">
        <f>IF(Results!M9="gas",1/Results!N9,3.413/Results!N9)</f>
        <v>0.44324675324675322</v>
      </c>
      <c r="L5" s="99">
        <f>3.413/Results!P9</f>
        <v>0.2625384615384615</v>
      </c>
      <c r="M5" s="105">
        <f>1/(Results!R9*0.92)</f>
        <v>1.3255567338282079</v>
      </c>
      <c r="N5" s="99">
        <f>IF(+Results!M9="gas",1/0.8,3.413/8.2)</f>
        <v>0.41621951219512199</v>
      </c>
      <c r="O5" s="99">
        <f>3.413/14</f>
        <v>0.24378571428571427</v>
      </c>
      <c r="P5" s="99">
        <f>IF(+Results!Q9="gas",1/0.62,1/0.95)</f>
        <v>1.6129032258064517</v>
      </c>
      <c r="Q5" s="102" t="e">
        <f>(B5*K5-C5)*(Results!I9*Results!F9*Worksheet!H5)/(Worksheet!K5*Results!C9)</f>
        <v>#DIV/0!</v>
      </c>
      <c r="R5" s="99" t="e">
        <f>(D5*L5-E5)*(Results!J9*Results!G9*Worksheet!I5)/(Worksheet!L5*Results!D9)</f>
        <v>#DIV/0!</v>
      </c>
      <c r="S5" s="99" t="e">
        <f>(F5*M5-G5)*(Results!K9*Results!H9*Worksheet!J5)/(Worksheet!M5*Results!E9)</f>
        <v>#DIV/0!</v>
      </c>
      <c r="T5" s="102" t="e">
        <f>Results!C9*(Worksheet!Q5/Results!F9)</f>
        <v>#DIV/0!</v>
      </c>
      <c r="U5" s="99" t="e">
        <f>Results!D9*(Worksheet!R5/Results!G9)</f>
        <v>#DIV/0!</v>
      </c>
      <c r="V5" s="99" t="e">
        <f>Results!E9*(Worksheet!S5/Results!H9)</f>
        <v>#DIV/0!</v>
      </c>
      <c r="W5" s="106" t="e">
        <f>SUM(T5:V5)</f>
        <v>#DIV/0!</v>
      </c>
      <c r="X5" s="103">
        <f>SUM(Results!C9:E9)</f>
        <v>0</v>
      </c>
      <c r="Y5" s="104" t="e">
        <f>100*W5/X5</f>
        <v>#DIV/0!</v>
      </c>
    </row>
    <row r="6" spans="1:25" x14ac:dyDescent="0.2">
      <c r="A6" s="97">
        <v>3</v>
      </c>
      <c r="B6" s="102">
        <f>IF(Results!M10="gas",1.037,2.4026)</f>
        <v>1.0369999999999999</v>
      </c>
      <c r="C6" s="99">
        <f>IF(Results!M10="gas",0.2962,0)</f>
        <v>0.29620000000000002</v>
      </c>
      <c r="D6" s="100">
        <v>3.8090000000000002</v>
      </c>
      <c r="E6" s="101">
        <v>0</v>
      </c>
      <c r="F6" s="99">
        <f>IF(Results!Q10="gas",1.3774,0.95)</f>
        <v>0.95</v>
      </c>
      <c r="G6" s="99">
        <f>IF(Results!Q10="gas",1.2217,0)</f>
        <v>0</v>
      </c>
      <c r="H6" s="102" t="e">
        <f>Results!C10/Results!F10*Worksheet!N6</f>
        <v>#DIV/0!</v>
      </c>
      <c r="I6" s="99" t="e">
        <f>Results!D10/Results!G10*Worksheet!O6</f>
        <v>#DIV/0!</v>
      </c>
      <c r="J6" s="99" t="e">
        <f>Results!E10/Results!H10*Worksheet!P6</f>
        <v>#DIV/0!</v>
      </c>
      <c r="K6" s="102">
        <f>IF(Results!M10="gas",1/Results!N10,3.413/Results!N10)</f>
        <v>1.2820512820512819</v>
      </c>
      <c r="L6" s="99">
        <f>3.413/Results!P10</f>
        <v>0.2625384615384615</v>
      </c>
      <c r="M6" s="103">
        <f>1/Results!R10</f>
        <v>1.0869565217391304</v>
      </c>
      <c r="N6" s="99">
        <f>IF(+Results!M10="gas",1/0.8,3.413/8.2)</f>
        <v>1.25</v>
      </c>
      <c r="O6" s="99">
        <f t="shared" ref="O6:O8" si="0">3.413/14</f>
        <v>0.24378571428571427</v>
      </c>
      <c r="P6" s="99">
        <f>IF(+Results!Q10="gas",1/0.62,1/0.95)</f>
        <v>1.0526315789473684</v>
      </c>
      <c r="Q6" s="102" t="e">
        <f>(B6*K6-C6)*(Results!I10*Results!F10*Worksheet!H6)/(Worksheet!K6*Results!C10)</f>
        <v>#DIV/0!</v>
      </c>
      <c r="R6" s="99" t="e">
        <f>(D6*L6-E6)*(Results!J10*Results!G10*Worksheet!I6)/(Worksheet!L6*Results!D10)</f>
        <v>#DIV/0!</v>
      </c>
      <c r="S6" s="99" t="e">
        <f>(F6*M6-G6)*(Results!K10*Results!H10*Worksheet!J6)/(Worksheet!M6*Results!E10)</f>
        <v>#DIV/0!</v>
      </c>
      <c r="T6" s="102" t="e">
        <f>Results!C10*(Worksheet!Q6/Results!F10)</f>
        <v>#DIV/0!</v>
      </c>
      <c r="U6" s="99" t="e">
        <f>Results!D10*(Worksheet!R6/Results!G10)</f>
        <v>#DIV/0!</v>
      </c>
      <c r="V6" s="99" t="e">
        <f>Results!E10*(Worksheet!S6/Results!H10)</f>
        <v>#DIV/0!</v>
      </c>
      <c r="W6" s="102" t="e">
        <f>SUM(T6:V6)</f>
        <v>#DIV/0!</v>
      </c>
      <c r="X6" s="103">
        <f>SUM(Results!C10:E10)</f>
        <v>0</v>
      </c>
      <c r="Y6" s="104" t="e">
        <f>100*W6/X6</f>
        <v>#DIV/0!</v>
      </c>
    </row>
    <row r="7" spans="1:25" x14ac:dyDescent="0.2">
      <c r="A7" s="97">
        <v>4</v>
      </c>
      <c r="B7" s="102">
        <f>IF(Results!M11="gas",1.037,2.4026)</f>
        <v>2.4026000000000001</v>
      </c>
      <c r="C7" s="99">
        <f>IF(Results!M11="gas",0.2962,0)</f>
        <v>0</v>
      </c>
      <c r="D7" s="100">
        <v>3.8090000000000002</v>
      </c>
      <c r="E7" s="101">
        <v>0</v>
      </c>
      <c r="F7" s="107">
        <f>IF(Results!Q11="gas",1.3774,0.95)</f>
        <v>0.95</v>
      </c>
      <c r="G7" s="99">
        <f>IF(Results!Q11="gas",1.2217,0)</f>
        <v>0</v>
      </c>
      <c r="H7" s="102" t="e">
        <f>Results!C11/Results!F11*Worksheet!N7</f>
        <v>#DIV/0!</v>
      </c>
      <c r="I7" s="99" t="e">
        <f>Results!D11/Results!G11*Worksheet!O7</f>
        <v>#DIV/0!</v>
      </c>
      <c r="J7" s="99" t="e">
        <f>Results!E11/Results!H11*Worksheet!P7</f>
        <v>#DIV/0!</v>
      </c>
      <c r="K7" s="102">
        <f>IF(Results!M11="gas",1/Results!N11,3.413/Results!N11)</f>
        <v>0.34129999999999999</v>
      </c>
      <c r="L7" s="99">
        <f>3.413/Results!P11</f>
        <v>0.20076470588235293</v>
      </c>
      <c r="M7" s="103">
        <f>1/Results!R11</f>
        <v>1.0869565217391304</v>
      </c>
      <c r="N7" s="99">
        <f>IF(+Results!M11="gas",1/0.8,3.413/8.2)</f>
        <v>0.41621951219512199</v>
      </c>
      <c r="O7" s="99">
        <f t="shared" si="0"/>
        <v>0.24378571428571427</v>
      </c>
      <c r="P7" s="99">
        <f>IF(+Results!Q11="gas",1/0.62,1/0.95)</f>
        <v>1.0526315789473684</v>
      </c>
      <c r="Q7" s="102" t="e">
        <f>(B7*K7-C7)*(Results!I11*Results!F11*Worksheet!H7)/(Worksheet!K7*Results!C11)</f>
        <v>#DIV/0!</v>
      </c>
      <c r="R7" s="99" t="e">
        <f>(D7*L7-E7)*(Results!J11*Results!G11*Worksheet!I7)/(Worksheet!L7*Results!D11)</f>
        <v>#DIV/0!</v>
      </c>
      <c r="S7" s="99" t="e">
        <f>(F7*M7-G7)*(Results!K11*Results!H11*Worksheet!J7)/(Worksheet!M7*Results!E11)</f>
        <v>#DIV/0!</v>
      </c>
      <c r="T7" s="102" t="e">
        <f>Results!C11*(Worksheet!Q7/Results!F11)</f>
        <v>#DIV/0!</v>
      </c>
      <c r="U7" s="99" t="e">
        <f>Results!D11*(Worksheet!R7/Results!G11)</f>
        <v>#DIV/0!</v>
      </c>
      <c r="V7" s="99" t="e">
        <f>Results!E11*(Worksheet!S7/Results!H11)</f>
        <v>#DIV/0!</v>
      </c>
      <c r="W7" s="102" t="e">
        <f>SUM(T7:V7)</f>
        <v>#DIV/0!</v>
      </c>
      <c r="X7" s="103">
        <f>SUM(Results!C11:E11)</f>
        <v>0</v>
      </c>
      <c r="Y7" s="104" t="e">
        <f>100*W7/X7</f>
        <v>#DIV/0!</v>
      </c>
    </row>
    <row r="8" spans="1:25" ht="13.5" thickBot="1" x14ac:dyDescent="0.25">
      <c r="A8" s="108">
        <v>5</v>
      </c>
      <c r="B8" s="109">
        <f>IF(Results!M12="gas",1.037,2.4026)</f>
        <v>1.0369999999999999</v>
      </c>
      <c r="C8" s="110">
        <f>IF(Results!M12="gas",0.2962,0)</f>
        <v>0.29620000000000002</v>
      </c>
      <c r="D8" s="111">
        <v>3.8090000000000002</v>
      </c>
      <c r="E8" s="112">
        <v>0</v>
      </c>
      <c r="F8" s="110">
        <f>IF(Results!Q12="gas",1.3774,0.95)</f>
        <v>0.95</v>
      </c>
      <c r="G8" s="110">
        <f>IF(Results!Q12="gas",1.2217,0)</f>
        <v>0</v>
      </c>
      <c r="H8" s="109" t="e">
        <f>Results!C12/Results!F12*Worksheet!N8</f>
        <v>#DIV/0!</v>
      </c>
      <c r="I8" s="110" t="e">
        <f>Results!D12/Results!G12*Worksheet!O8</f>
        <v>#DIV/0!</v>
      </c>
      <c r="J8" s="110" t="e">
        <f>Results!E12/Results!H12*Worksheet!P8</f>
        <v>#DIV/0!</v>
      </c>
      <c r="K8" s="109">
        <f>IF(Results!M12="gas",1/Results!N12,3.413/Results!N12)</f>
        <v>1.0416666666666667</v>
      </c>
      <c r="L8" s="110">
        <f>3.413/Results!P12</f>
        <v>0.2625384615384615</v>
      </c>
      <c r="M8" s="113">
        <f>1/Results!R12</f>
        <v>1.0869565217391304</v>
      </c>
      <c r="N8" s="110">
        <f>IF(+Results!M12="gas",1/0.8,3.413/8.2)</f>
        <v>1.25</v>
      </c>
      <c r="O8" s="110">
        <f t="shared" si="0"/>
        <v>0.24378571428571427</v>
      </c>
      <c r="P8" s="110">
        <f>IF(+Results!Q12="gas",1/0.62,1/0.95)</f>
        <v>1.0526315789473684</v>
      </c>
      <c r="Q8" s="109" t="e">
        <f>(B8*K8-C8)*(Results!I12*Results!F12*Worksheet!H8)/(Worksheet!K8*Results!C12)</f>
        <v>#DIV/0!</v>
      </c>
      <c r="R8" s="110" t="e">
        <f>(D8*L8-E8)*(Results!J12*Results!G12*Worksheet!I8)/(Worksheet!L8*Results!D12)</f>
        <v>#DIV/0!</v>
      </c>
      <c r="S8" s="110" t="e">
        <f>(F8*M8-G8)*(Results!K12*Results!H12*Worksheet!J8)/(Worksheet!M8*Results!E12)</f>
        <v>#DIV/0!</v>
      </c>
      <c r="T8" s="109" t="e">
        <f>Results!C12*(Worksheet!Q8/Results!F12)</f>
        <v>#DIV/0!</v>
      </c>
      <c r="U8" s="110" t="e">
        <f>Results!D12*(Worksheet!R8/Results!G12)</f>
        <v>#DIV/0!</v>
      </c>
      <c r="V8" s="110" t="e">
        <f>Results!E12*(Worksheet!S8/Results!H12)</f>
        <v>#DIV/0!</v>
      </c>
      <c r="W8" s="109" t="e">
        <f>SUM(T8:V8)</f>
        <v>#DIV/0!</v>
      </c>
      <c r="X8" s="113">
        <f>SUM(Results!C12:E12)</f>
        <v>0</v>
      </c>
      <c r="Y8" s="114" t="e">
        <f>100*W8/X8</f>
        <v>#DIV/0!</v>
      </c>
    </row>
    <row r="9" spans="1:25" ht="13.5" thickTop="1" x14ac:dyDescent="0.2"/>
    <row r="10" spans="1:25" x14ac:dyDescent="0.2">
      <c r="C10" s="80" t="s">
        <v>24</v>
      </c>
      <c r="M10" s="52"/>
    </row>
    <row r="11" spans="1:25" x14ac:dyDescent="0.2">
      <c r="C11" s="80" t="s">
        <v>23</v>
      </c>
    </row>
    <row r="17" spans="3:14" x14ac:dyDescent="0.2">
      <c r="C17" s="115"/>
      <c r="D17" s="115"/>
      <c r="E17" s="115"/>
      <c r="G17" s="115"/>
      <c r="H17" s="115"/>
      <c r="I17" s="115"/>
      <c r="J17" s="115"/>
      <c r="K17" s="115"/>
      <c r="L17" s="115"/>
      <c r="M17" s="115"/>
      <c r="N17" s="115"/>
    </row>
    <row r="18" spans="3:14" x14ac:dyDescent="0.2">
      <c r="L18" s="80" t="s">
        <v>24</v>
      </c>
    </row>
  </sheetData>
  <sheetProtection algorithmName="SHA-512" hashValue="crVLcRs7B2cFIvEIljht6AbuJ612Tngza1/cZ5qeh9J1/I+aHksnpmFtdKiMkZA04Z2TB+eoTcKhxWzFXW6UWw==" saltValue="xbKzC5AZ6fhzl7YkSEZZaA==" spinCount="100000" sheet="1" objects="1" scenarios="1"/>
  <mergeCells count="20">
    <mergeCell ref="K2:K3"/>
    <mergeCell ref="L2:L3"/>
    <mergeCell ref="M2:M3"/>
    <mergeCell ref="A1:A3"/>
    <mergeCell ref="H2:H3"/>
    <mergeCell ref="I2:I3"/>
    <mergeCell ref="J2:J3"/>
    <mergeCell ref="N2:N3"/>
    <mergeCell ref="S2:S3"/>
    <mergeCell ref="O2:O3"/>
    <mergeCell ref="P2:P3"/>
    <mergeCell ref="Q2:Q3"/>
    <mergeCell ref="R2:R3"/>
    <mergeCell ref="Y1:Y3"/>
    <mergeCell ref="T2:T3"/>
    <mergeCell ref="U2:U3"/>
    <mergeCell ref="V2:V3"/>
    <mergeCell ref="W2:W3"/>
    <mergeCell ref="W1:X1"/>
    <mergeCell ref="X2:X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Worksheet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Bereket Nigusse</dc:creator>
  <cp:lastModifiedBy>Bereket Nigusse</cp:lastModifiedBy>
  <cp:lastPrinted>2011-12-13T16:04:15Z</cp:lastPrinted>
  <dcterms:created xsi:type="dcterms:W3CDTF">2002-08-05T13:11:00Z</dcterms:created>
  <dcterms:modified xsi:type="dcterms:W3CDTF">2017-06-14T20:35:08Z</dcterms:modified>
</cp:coreProperties>
</file>