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\Pictures\Documents\DBPR Improved Hot Water Code Calculation\Task 3 and 4\"/>
    </mc:Choice>
  </mc:AlternateContent>
  <bookViews>
    <workbookView xWindow="0" yWindow="0" windowWidth="15552" windowHeight="8100" tabRatio="694"/>
  </bookViews>
  <sheets>
    <sheet name="Hot Water Calcs" sheetId="1" r:id="rId1"/>
    <sheet name="Monthly Calcs" sheetId="13" r:id="rId2"/>
    <sheet name="UAtank" sheetId="16" r:id="rId3"/>
    <sheet name="Tmains" sheetId="6" state="hidden" r:id="rId4"/>
    <sheet name="gpd" sheetId="8" state="hidden" r:id="rId5"/>
    <sheet name="nMEUL" sheetId="14" state="hidden" r:id="rId6"/>
    <sheet name="HW%" sheetId="15" state="hidden" r:id="rId7"/>
  </sheets>
  <externalReferences>
    <externalReference r:id="rId8"/>
    <externalReference r:id="rId9"/>
  </externalReferences>
  <definedNames>
    <definedName name="ACY">'Hot Water Calcs'!$B$46</definedName>
    <definedName name="adjFmix">'Hot Water Calcs'!$F$45</definedName>
    <definedName name="AGC">'Hot Water Calcs'!$B$44</definedName>
    <definedName name="branchL">'Hot Water Calcs'!$B$10</definedName>
    <definedName name="Bsmt">'Hot Water Calcs'!$I$7</definedName>
    <definedName name="CAPw">'Hot Water Calcs'!$B$40</definedName>
    <definedName name="CFA">'Hot Water Calcs'!$I$4</definedName>
    <definedName name="CWgpd">'Hot Water Calcs'!$B$52</definedName>
    <definedName name="den">UAtank!$B$9</definedName>
    <definedName name="DW_EF">'Hot Water Calcs'!$B$48</definedName>
    <definedName name="dWcap">'Hot Water Calcs'!$B$47</definedName>
    <definedName name="DWgpd">'Hot Water Calcs'!$B$51</definedName>
    <definedName name="DWHReff">'Hot Water Calcs'!$I$40</definedName>
    <definedName name="DWHRinT">'Hot Water Calcs'!$I$41</definedName>
    <definedName name="e_mult">'Hot Water Calcs'!$Z$4</definedName>
    <definedName name="E_Stdby">'Monthly Calcs'!$AM$5</definedName>
    <definedName name="EC_r">'Hot Water Calcs'!$G$13</definedName>
    <definedName name="EC_x">'Hot Water Calcs'!$F$13</definedName>
    <definedName name="EDeff">'Hot Water Calcs'!$F$12</definedName>
    <definedName name="EFuse">'Hot Water Calcs'!$K$10</definedName>
    <definedName name="eRatio">nMEUL!$B$5</definedName>
    <definedName name="eRE">'Monthly Calcs'!$AM$2</definedName>
    <definedName name="Ewaste">'Hot Water Calcs'!$F$11</definedName>
    <definedName name="Feff">'Hot Water Calcs'!$F$43</definedName>
    <definedName name="FixF">'Hot Water Calcs'!$I$44</definedName>
    <definedName name="Fmix">'Hot Water Calcs'!$F$44</definedName>
    <definedName name="g_mult">'Hot Water Calcs'!$Z$5</definedName>
    <definedName name="gdp_ratio">'Hot Water Calcs'!$I$52</definedName>
    <definedName name="gpd">UAtank!$B$7</definedName>
    <definedName name="gRE">'Monthly Calcs'!$AO$2</definedName>
    <definedName name="H2O_den">[1]Duluth!$I$1</definedName>
    <definedName name="Heat_Trap">UAtank!$P$12</definedName>
    <definedName name="HW_Climate_factor">'Hot Water Calcs'!$B$17</definedName>
    <definedName name="HWgpd">'Hot Water Calcs'!$F$4</definedName>
    <definedName name="Ifrac">'Hot Water Calcs'!$I$42</definedName>
    <definedName name="kWh_cost">'Hot Water Calcs'!$B$42</definedName>
    <definedName name="lb_gal">'Monthly Calcs'!$AM$1</definedName>
    <definedName name="LER">'Hot Water Calcs'!$B$41</definedName>
    <definedName name="LocF">'Hot Water Calcs'!$I$43</definedName>
    <definedName name="loopL">'Hot Water Calcs'!$B$9</definedName>
    <definedName name="mCp∆T">UAtank!$B$15</definedName>
    <definedName name="Nbr">'Hot Water Calcs'!$I$5</definedName>
    <definedName name="NCY">'Hot Water Calcs'!$B$45</definedName>
    <definedName name="Ndu">'Hot Water Calcs'!$I$8</definedName>
    <definedName name="NE_Stdby">'Monthly Calcs'!$AO$5</definedName>
    <definedName name="Nfl">'Hot Water Calcs'!$I$6</definedName>
    <definedName name="oCDeff">'Hot Water Calcs'!$X$5</definedName>
    <definedName name="oEWfact">'Hot Water Calcs'!$F$51</definedName>
    <definedName name="oFrac">'Hot Water Calcs'!$X$4</definedName>
    <definedName name="oWgdp">'Hot Water Calcs'!$F$49</definedName>
    <definedName name="pEratio">'[2]Hot Water Calcs'!$H$32</definedName>
    <definedName name="PipeL">'Hot Water Calcs'!$B$8</definedName>
    <definedName name="PLC">'Hot Water Calcs'!$I$45</definedName>
    <definedName name="PLCfact">'Hot Water Calcs'!$I$46</definedName>
    <definedName name="pLength">'Hot Water Calcs'!$I$50</definedName>
    <definedName name="pRatio">'Hot Water Calcs'!$I$48</definedName>
    <definedName name="pumpkWh_y">'Hot Water Calcs'!$F$14</definedName>
    <definedName name="pumpW">'Hot Water Calcs'!$B$11</definedName>
    <definedName name="ratedEFe">'Hot Water Calcs'!$I$36</definedName>
    <definedName name="ratedEFg">'Hot Water Calcs'!$I$35</definedName>
    <definedName name="Recovery">UAtank!$P$11</definedName>
    <definedName name="refCWgpd">'Hot Water Calcs'!$B$50</definedName>
    <definedName name="refDWgpd">'Hot Water Calcs'!$B$49</definedName>
    <definedName name="refFgpd">'Hot Water Calcs'!$F$47</definedName>
    <definedName name="refHWgpd">'Hot Water Calcs'!$G$4</definedName>
    <definedName name="refLoopL">'Hot Water Calcs'!$B$16</definedName>
    <definedName name="refPipeL">'Hot Water Calcs'!$B$15</definedName>
    <definedName name="refWgpd">'Hot Water Calcs'!$F$46</definedName>
    <definedName name="sEWfact">'Hot Water Calcs'!$F$52</definedName>
    <definedName name="sWgdp">'Hot Water Calcs'!$F$50</definedName>
    <definedName name="sysFactor">'Hot Water Calcs'!$I$49</definedName>
    <definedName name="Tamb">'Monthly Calcs'!$AM$3</definedName>
    <definedName name="Tavg">'Hot Water Calcs'!$F$40</definedName>
    <definedName name="Tenv">UAtank!$B$8</definedName>
    <definedName name="therm_cost">'Hot Water Calcs'!$B$43</definedName>
    <definedName name="therms_y">'Hot Water Calcs'!$F$13</definedName>
    <definedName name="Tin">UAtank!$B$6</definedName>
    <definedName name="Tmains">'Hot Water Calcs'!$K$11</definedName>
    <definedName name="Tmains_offset">Tmains!$B$19</definedName>
    <definedName name="Tset">'Hot Water Calcs'!$F$41</definedName>
    <definedName name="Ttank">UAtank!$B$5</definedName>
    <definedName name="Tuse">'Hot Water Calcs'!$F$42</definedName>
    <definedName name="UA_Wrap">UAtank!$U$16</definedName>
    <definedName name="VC">'Hot Water Calcs'!$I$45</definedName>
    <definedName name="VintFact">'Hot Water Calcs'!$X$6</definedName>
    <definedName name="WDeff">'Hot Water Calcs'!$F$10</definedName>
    <definedName name="WHinT">'Hot Water Calcs'!$K$8</definedName>
    <definedName name="WHinTadj">'Hot Water Calcs'!$K$7</definedName>
  </definedNames>
  <calcPr calcId="152511"/>
</workbook>
</file>

<file path=xl/calcChain.xml><?xml version="1.0" encoding="utf-8"?>
<calcChain xmlns="http://schemas.openxmlformats.org/spreadsheetml/2006/main">
  <c r="AM3" i="13" l="1"/>
  <c r="H47" i="16" l="1"/>
  <c r="H46" i="16"/>
  <c r="H45" i="16"/>
  <c r="H44" i="16"/>
  <c r="H43" i="16"/>
  <c r="H42" i="16"/>
  <c r="H41" i="16"/>
  <c r="H40" i="16"/>
  <c r="H39" i="16"/>
  <c r="H36" i="16"/>
  <c r="H35" i="16"/>
  <c r="H34" i="16"/>
  <c r="H33" i="16"/>
  <c r="H32" i="16"/>
  <c r="H31" i="16"/>
  <c r="H30" i="16"/>
  <c r="H29" i="16"/>
  <c r="H28" i="16"/>
  <c r="H27" i="16"/>
  <c r="M23" i="16"/>
  <c r="B10" i="16" l="1"/>
  <c r="L47" i="16"/>
  <c r="L46" i="16"/>
  <c r="L45" i="16"/>
  <c r="L44" i="16"/>
  <c r="L43" i="16"/>
  <c r="L42" i="16"/>
  <c r="L41" i="16"/>
  <c r="L40" i="16"/>
  <c r="L39" i="16"/>
  <c r="L36" i="16"/>
  <c r="L35" i="16"/>
  <c r="L34" i="16"/>
  <c r="L33" i="16"/>
  <c r="L32" i="16"/>
  <c r="L31" i="16"/>
  <c r="L30" i="16"/>
  <c r="L29" i="16"/>
  <c r="L28" i="16"/>
  <c r="L27" i="16"/>
  <c r="K10" i="1" l="1"/>
  <c r="AF3" i="13"/>
  <c r="AH3" i="13"/>
  <c r="AJ3" i="13"/>
  <c r="AC3" i="13"/>
  <c r="W15" i="16"/>
  <c r="V15" i="16"/>
  <c r="U15" i="16"/>
  <c r="T15" i="16"/>
  <c r="S15" i="16"/>
  <c r="R15" i="16"/>
  <c r="W20" i="16"/>
  <c r="V20" i="16"/>
  <c r="U20" i="16"/>
  <c r="T20" i="16"/>
  <c r="AC31" i="13"/>
  <c r="B10" i="1" l="1"/>
  <c r="P12" i="16" l="1"/>
  <c r="D8" i="16" l="1"/>
  <c r="T21" i="16" l="1"/>
  <c r="Q21" i="16"/>
  <c r="U21" i="16" s="1"/>
  <c r="P21" i="16"/>
  <c r="Q16" i="16"/>
  <c r="S16" i="16" s="1"/>
  <c r="U16" i="16" s="1"/>
  <c r="W16" i="16" s="1"/>
  <c r="AM5" i="13" s="1"/>
  <c r="P16" i="16"/>
  <c r="R16" i="16" s="1"/>
  <c r="B11" i="1" l="1"/>
  <c r="I47" i="16" l="1"/>
  <c r="I46" i="16"/>
  <c r="I45" i="16"/>
  <c r="I44" i="16"/>
  <c r="I43" i="16"/>
  <c r="I42" i="16"/>
  <c r="I41" i="16"/>
  <c r="I40" i="16"/>
  <c r="I39" i="16"/>
  <c r="W21" i="16"/>
  <c r="AO5" i="13" s="1"/>
  <c r="V21" i="16"/>
  <c r="T16" i="16"/>
  <c r="V16" i="16" s="1"/>
  <c r="L8" i="16"/>
  <c r="B9" i="16"/>
  <c r="B15" i="16" s="1"/>
  <c r="C8" i="16"/>
  <c r="H6" i="16"/>
  <c r="H7" i="16" s="1"/>
  <c r="P3" i="16"/>
  <c r="O2" i="16"/>
  <c r="P2" i="16" s="1"/>
  <c r="K23" i="16" l="1"/>
  <c r="L24" i="16" s="1"/>
  <c r="J18" i="16"/>
  <c r="E18" i="16"/>
  <c r="B18" i="16"/>
  <c r="P22" i="16"/>
  <c r="T22" i="16" s="1"/>
  <c r="V22" i="16" s="1"/>
  <c r="K36" i="16"/>
  <c r="K33" i="16"/>
  <c r="K35" i="16"/>
  <c r="K32" i="16"/>
  <c r="K31" i="16"/>
  <c r="K44" i="16"/>
  <c r="K30" i="16"/>
  <c r="K43" i="16"/>
  <c r="K29" i="16"/>
  <c r="K42" i="16"/>
  <c r="K28" i="16"/>
  <c r="K41" i="16"/>
  <c r="K27" i="16"/>
  <c r="K40" i="16"/>
  <c r="K34" i="16"/>
  <c r="K47" i="16"/>
  <c r="K39" i="16"/>
  <c r="K46" i="16"/>
  <c r="K45" i="16"/>
  <c r="P17" i="16"/>
  <c r="R17" i="16" s="1"/>
  <c r="T17" i="16" s="1"/>
  <c r="V17" i="16" s="1"/>
  <c r="Q17" i="16"/>
  <c r="S17" i="16" s="1"/>
  <c r="U17" i="16" s="1"/>
  <c r="W17" i="16" s="1"/>
  <c r="Q22" i="16"/>
  <c r="U22" i="16" s="1"/>
  <c r="W22" i="16" s="1"/>
  <c r="E14" i="16"/>
  <c r="E21" i="16"/>
  <c r="P4" i="16"/>
  <c r="P5" i="16" s="1"/>
  <c r="K5" i="16"/>
  <c r="L7" i="16"/>
  <c r="K4" i="16"/>
  <c r="K3" i="16"/>
  <c r="B14" i="16"/>
  <c r="B21" i="16"/>
  <c r="B20" i="16" l="1"/>
  <c r="B19" i="16"/>
  <c r="O8" i="16"/>
  <c r="O7" i="16"/>
  <c r="O9" i="16"/>
  <c r="L9" i="16"/>
  <c r="L11" i="16" s="1"/>
  <c r="E19" i="16"/>
  <c r="E20" i="16"/>
  <c r="AC39" i="13" l="1"/>
  <c r="AC38" i="13"/>
  <c r="AC37" i="13"/>
  <c r="AC36" i="13"/>
  <c r="AC35" i="13"/>
  <c r="AC34" i="13"/>
  <c r="AC33" i="13"/>
  <c r="AC32" i="13"/>
  <c r="AA39" i="13"/>
  <c r="AA38" i="13"/>
  <c r="AA37" i="13"/>
  <c r="AA36" i="13"/>
  <c r="AA35" i="13"/>
  <c r="AA34" i="13"/>
  <c r="AA33" i="13"/>
  <c r="AA32" i="13"/>
  <c r="AA31" i="13"/>
  <c r="B8" i="15" l="1"/>
  <c r="AD6" i="1" l="1"/>
  <c r="AD10" i="1"/>
  <c r="AD5" i="1"/>
  <c r="B17" i="1" s="1"/>
  <c r="AD9" i="1"/>
  <c r="AD4" i="1"/>
  <c r="AD8" i="1"/>
  <c r="N8" i="15"/>
  <c r="J8" i="15"/>
  <c r="W7" i="15"/>
  <c r="X7" i="15" s="1"/>
  <c r="V7" i="15"/>
  <c r="V8" i="15" s="1"/>
  <c r="S7" i="15"/>
  <c r="T7" i="15" s="1"/>
  <c r="R7" i="15"/>
  <c r="R8" i="15" s="1"/>
  <c r="P7" i="15"/>
  <c r="O7" i="15"/>
  <c r="N7" i="15"/>
  <c r="L7" i="15"/>
  <c r="K7" i="15"/>
  <c r="J7" i="15"/>
  <c r="G7" i="15"/>
  <c r="H7" i="15" s="1"/>
  <c r="F7" i="15"/>
  <c r="F8" i="15" s="1"/>
  <c r="C7" i="15"/>
  <c r="D7" i="15" s="1"/>
  <c r="B7" i="15"/>
  <c r="X6" i="15"/>
  <c r="T6" i="15"/>
  <c r="P6" i="15"/>
  <c r="L6" i="15"/>
  <c r="H6" i="15"/>
  <c r="D6" i="15"/>
  <c r="X5" i="15"/>
  <c r="T5" i="15"/>
  <c r="P5" i="15"/>
  <c r="L5" i="15"/>
  <c r="H5" i="15"/>
  <c r="D5" i="15"/>
  <c r="X4" i="15"/>
  <c r="T4" i="15"/>
  <c r="P4" i="15"/>
  <c r="L4" i="15"/>
  <c r="H4" i="15"/>
  <c r="D4" i="15"/>
  <c r="J9" i="14" l="1"/>
  <c r="I40" i="1"/>
  <c r="I49" i="1"/>
  <c r="F43" i="1"/>
  <c r="F14" i="1"/>
  <c r="A5" i="14"/>
  <c r="B49" i="1"/>
  <c r="B50" i="1"/>
  <c r="T4" i="13" s="1"/>
  <c r="F47" i="1"/>
  <c r="F46" i="1"/>
  <c r="I42" i="1"/>
  <c r="I41" i="1"/>
  <c r="B45" i="1"/>
  <c r="B15" i="1"/>
  <c r="B8" i="1" s="1"/>
  <c r="I9" i="14"/>
  <c r="I8" i="14"/>
  <c r="K1" i="13"/>
  <c r="A2" i="13"/>
  <c r="C10" i="13" s="1"/>
  <c r="Z3" i="13"/>
  <c r="Y3" i="13"/>
  <c r="I3" i="6"/>
  <c r="I4" i="6"/>
  <c r="I5" i="6"/>
  <c r="I6" i="6"/>
  <c r="I7" i="6"/>
  <c r="I8" i="6"/>
  <c r="I9" i="6"/>
  <c r="I10" i="6"/>
  <c r="I11" i="6"/>
  <c r="I12" i="6"/>
  <c r="I13" i="6"/>
  <c r="I14" i="6"/>
  <c r="J3" i="6"/>
  <c r="J4" i="6"/>
  <c r="J5" i="6"/>
  <c r="J6" i="6"/>
  <c r="J7" i="6"/>
  <c r="J8" i="6"/>
  <c r="J9" i="6"/>
  <c r="J10" i="6"/>
  <c r="J11" i="6"/>
  <c r="J12" i="6"/>
  <c r="J13" i="6"/>
  <c r="J14" i="6"/>
  <c r="K3" i="6"/>
  <c r="K4" i="6"/>
  <c r="K5" i="6"/>
  <c r="K6" i="6"/>
  <c r="K7" i="6"/>
  <c r="K8" i="6"/>
  <c r="K9" i="6"/>
  <c r="K10" i="6"/>
  <c r="K11" i="6"/>
  <c r="K12" i="6"/>
  <c r="K13" i="6"/>
  <c r="K14" i="6"/>
  <c r="L3" i="6"/>
  <c r="L4" i="6"/>
  <c r="L5" i="6"/>
  <c r="L6" i="6"/>
  <c r="L7" i="6"/>
  <c r="L8" i="6"/>
  <c r="L9" i="6"/>
  <c r="L10" i="6"/>
  <c r="L11" i="6"/>
  <c r="L12" i="6"/>
  <c r="L13" i="6"/>
  <c r="L14" i="6"/>
  <c r="M3" i="6"/>
  <c r="M4" i="6"/>
  <c r="M5" i="6"/>
  <c r="M6" i="6"/>
  <c r="M7" i="6"/>
  <c r="M8" i="6"/>
  <c r="M9" i="6"/>
  <c r="M10" i="6"/>
  <c r="M11" i="6"/>
  <c r="M12" i="6"/>
  <c r="M13" i="6"/>
  <c r="M14" i="6"/>
  <c r="N3" i="6"/>
  <c r="N4" i="6"/>
  <c r="N5" i="6"/>
  <c r="N6" i="6"/>
  <c r="N7" i="6"/>
  <c r="N8" i="6"/>
  <c r="N9" i="6"/>
  <c r="N10" i="6"/>
  <c r="N11" i="6"/>
  <c r="N12" i="6"/>
  <c r="N13" i="6"/>
  <c r="N14" i="6"/>
  <c r="F40" i="1"/>
  <c r="B16" i="6"/>
  <c r="I16" i="6" s="1"/>
  <c r="C16" i="6"/>
  <c r="J16" i="6" s="1"/>
  <c r="K16" i="6"/>
  <c r="E16" i="6"/>
  <c r="L16" i="6" s="1"/>
  <c r="F16" i="6"/>
  <c r="F17" i="6" s="1"/>
  <c r="G16" i="6"/>
  <c r="G17" i="6" s="1"/>
  <c r="G15" i="6"/>
  <c r="F15" i="6"/>
  <c r="E15" i="6"/>
  <c r="D15" i="6"/>
  <c r="C15" i="6"/>
  <c r="B15" i="6"/>
  <c r="C23" i="8"/>
  <c r="C22" i="8"/>
  <c r="C21" i="8"/>
  <c r="C20" i="8"/>
  <c r="C19" i="8"/>
  <c r="C18" i="8"/>
  <c r="C17" i="8"/>
  <c r="C16" i="8"/>
  <c r="C15" i="8"/>
  <c r="R44" i="1"/>
  <c r="R45" i="1"/>
  <c r="F51" i="1" s="1"/>
  <c r="F52" i="1" s="1"/>
  <c r="R23" i="1"/>
  <c r="F10" i="1" s="1"/>
  <c r="R22" i="1"/>
  <c r="R21" i="1"/>
  <c r="D15" i="8"/>
  <c r="E15" i="8" s="1"/>
  <c r="G15" i="8" s="1"/>
  <c r="N15" i="8" s="1"/>
  <c r="B23" i="8"/>
  <c r="B22" i="8"/>
  <c r="B21" i="8"/>
  <c r="B20" i="8"/>
  <c r="B19" i="8"/>
  <c r="B18" i="8"/>
  <c r="B17" i="8"/>
  <c r="B16" i="8"/>
  <c r="B15" i="8"/>
  <c r="B48" i="1"/>
  <c r="B47" i="1"/>
  <c r="B44" i="1"/>
  <c r="B43" i="1"/>
  <c r="B42" i="1"/>
  <c r="B41" i="1"/>
  <c r="B40" i="1"/>
  <c r="R43" i="1"/>
  <c r="R42" i="1"/>
  <c r="I44" i="1"/>
  <c r="I43" i="1"/>
  <c r="F16" i="8"/>
  <c r="F18" i="8"/>
  <c r="F20" i="8"/>
  <c r="F22" i="8"/>
  <c r="F15" i="8"/>
  <c r="F17" i="8"/>
  <c r="F19" i="8"/>
  <c r="F21" i="8"/>
  <c r="F23" i="8"/>
  <c r="W15" i="6"/>
  <c r="D17" i="6"/>
  <c r="E13" i="1"/>
  <c r="F10" i="13" l="1"/>
  <c r="H10" i="13" s="1"/>
  <c r="AE10" i="13" s="1"/>
  <c r="AF10" i="13" s="1"/>
  <c r="B16" i="1"/>
  <c r="B9" i="1" s="1"/>
  <c r="B51" i="1"/>
  <c r="W7" i="13" s="1"/>
  <c r="N16" i="6"/>
  <c r="U16" i="6" s="1"/>
  <c r="T10" i="13"/>
  <c r="S13" i="6"/>
  <c r="AA13" i="6" s="1"/>
  <c r="AH13" i="6" s="1"/>
  <c r="U10" i="6"/>
  <c r="AC10" i="6" s="1"/>
  <c r="AJ10" i="6" s="1"/>
  <c r="S5" i="6"/>
  <c r="AA5" i="6" s="1"/>
  <c r="AH5" i="6" s="1"/>
  <c r="T8" i="13"/>
  <c r="V4" i="13"/>
  <c r="S16" i="6"/>
  <c r="L15" i="6"/>
  <c r="L17" i="6" s="1"/>
  <c r="Q8" i="6"/>
  <c r="Y8" i="6" s="1"/>
  <c r="AF8" i="6" s="1"/>
  <c r="C17" i="6"/>
  <c r="T6" i="13"/>
  <c r="P16" i="6"/>
  <c r="T15" i="13"/>
  <c r="Q12" i="6"/>
  <c r="Y12" i="6" s="1"/>
  <c r="AF12" i="6" s="1"/>
  <c r="Q5" i="6"/>
  <c r="Y5" i="6" s="1"/>
  <c r="AF5" i="6" s="1"/>
  <c r="U13" i="6"/>
  <c r="AC13" i="6" s="1"/>
  <c r="AJ13" i="6" s="1"/>
  <c r="U9" i="6"/>
  <c r="AC9" i="6" s="1"/>
  <c r="AJ9" i="6" s="1"/>
  <c r="B46" i="1"/>
  <c r="B52" i="1" s="1"/>
  <c r="U9" i="13" s="1"/>
  <c r="U14" i="6"/>
  <c r="AC14" i="6" s="1"/>
  <c r="AJ14" i="6" s="1"/>
  <c r="V6" i="13"/>
  <c r="Q9" i="6"/>
  <c r="Y9" i="6" s="1"/>
  <c r="AF9" i="6" s="1"/>
  <c r="B17" i="6"/>
  <c r="T5" i="13"/>
  <c r="U6" i="6"/>
  <c r="AC6" i="6" s="1"/>
  <c r="AJ6" i="6" s="1"/>
  <c r="S9" i="6"/>
  <c r="AA9" i="6" s="1"/>
  <c r="AH9" i="6" s="1"/>
  <c r="T9" i="13"/>
  <c r="U5" i="6"/>
  <c r="AC5" i="6" s="1"/>
  <c r="AJ5" i="6" s="1"/>
  <c r="Q4" i="6"/>
  <c r="Y4" i="6" s="1"/>
  <c r="AF4" i="6" s="1"/>
  <c r="C5" i="13"/>
  <c r="J8" i="14"/>
  <c r="Q13" i="6"/>
  <c r="Y13" i="6" s="1"/>
  <c r="AF13" i="6" s="1"/>
  <c r="V9" i="13"/>
  <c r="J15" i="6"/>
  <c r="J17" i="6" s="1"/>
  <c r="D16" i="8"/>
  <c r="D18" i="8"/>
  <c r="E18" i="8" s="1"/>
  <c r="G18" i="8" s="1"/>
  <c r="N18" i="8" s="1"/>
  <c r="I15" i="8"/>
  <c r="D19" i="8"/>
  <c r="E17" i="6"/>
  <c r="K15" i="6"/>
  <c r="K17" i="6" s="1"/>
  <c r="D20" i="8"/>
  <c r="M16" i="6"/>
  <c r="T16" i="6" s="1"/>
  <c r="D17" i="8"/>
  <c r="H17" i="8" s="1"/>
  <c r="H15" i="8"/>
  <c r="C12" i="13"/>
  <c r="D22" i="8"/>
  <c r="K15" i="8"/>
  <c r="C11" i="13"/>
  <c r="I15" i="6"/>
  <c r="I17" i="6" s="1"/>
  <c r="D21" i="8"/>
  <c r="E21" i="8" s="1"/>
  <c r="D23" i="8"/>
  <c r="C9" i="13"/>
  <c r="S4" i="6"/>
  <c r="AA4" i="6" s="1"/>
  <c r="AH4" i="6" s="1"/>
  <c r="C13" i="13"/>
  <c r="C7" i="13"/>
  <c r="C8" i="13"/>
  <c r="C15" i="13"/>
  <c r="C4" i="13"/>
  <c r="C14" i="13"/>
  <c r="C6" i="13"/>
  <c r="V11" i="13"/>
  <c r="S12" i="6"/>
  <c r="AA12" i="6" s="1"/>
  <c r="AH12" i="6" s="1"/>
  <c r="S8" i="6"/>
  <c r="AA8" i="6" s="1"/>
  <c r="AH8" i="6" s="1"/>
  <c r="F49" i="1"/>
  <c r="I50" i="1"/>
  <c r="I45" i="1" s="1"/>
  <c r="D10" i="13" s="1"/>
  <c r="G10" i="13" s="1"/>
  <c r="I48" i="1"/>
  <c r="F11" i="1" s="1"/>
  <c r="F12" i="1" s="1"/>
  <c r="N15" i="6"/>
  <c r="P3" i="6"/>
  <c r="X3" i="6" s="1"/>
  <c r="P5" i="6"/>
  <c r="X5" i="6" s="1"/>
  <c r="AE5" i="6" s="1"/>
  <c r="P7" i="6"/>
  <c r="X7" i="6" s="1"/>
  <c r="AE7" i="6" s="1"/>
  <c r="P9" i="6"/>
  <c r="X9" i="6" s="1"/>
  <c r="AE9" i="6" s="1"/>
  <c r="P11" i="6"/>
  <c r="X11" i="6" s="1"/>
  <c r="AE11" i="6" s="1"/>
  <c r="P13" i="6"/>
  <c r="X13" i="6" s="1"/>
  <c r="AE13" i="6" s="1"/>
  <c r="R4" i="6"/>
  <c r="Z4" i="6" s="1"/>
  <c r="AG4" i="6" s="1"/>
  <c r="R6" i="6"/>
  <c r="Z6" i="6" s="1"/>
  <c r="AG6" i="6" s="1"/>
  <c r="R8" i="6"/>
  <c r="Z8" i="6" s="1"/>
  <c r="AG8" i="6" s="1"/>
  <c r="R10" i="6"/>
  <c r="Z10" i="6" s="1"/>
  <c r="AG10" i="6" s="1"/>
  <c r="R12" i="6"/>
  <c r="Z12" i="6" s="1"/>
  <c r="AG12" i="6" s="1"/>
  <c r="R14" i="6"/>
  <c r="Z14" i="6" s="1"/>
  <c r="AG14" i="6" s="1"/>
  <c r="T3" i="6"/>
  <c r="AB3" i="6" s="1"/>
  <c r="T5" i="6"/>
  <c r="AB5" i="6" s="1"/>
  <c r="AI5" i="6" s="1"/>
  <c r="T7" i="6"/>
  <c r="AB7" i="6" s="1"/>
  <c r="AI7" i="6" s="1"/>
  <c r="T9" i="6"/>
  <c r="AB9" i="6" s="1"/>
  <c r="AI9" i="6" s="1"/>
  <c r="T11" i="6"/>
  <c r="AB11" i="6" s="1"/>
  <c r="AI11" i="6" s="1"/>
  <c r="T13" i="6"/>
  <c r="AB13" i="6" s="1"/>
  <c r="AI13" i="6" s="1"/>
  <c r="V15" i="13"/>
  <c r="V10" i="13"/>
  <c r="V5" i="13"/>
  <c r="R16" i="6"/>
  <c r="P4" i="6"/>
  <c r="X4" i="6" s="1"/>
  <c r="AE4" i="6" s="1"/>
  <c r="P6" i="6"/>
  <c r="X6" i="6" s="1"/>
  <c r="AE6" i="6" s="1"/>
  <c r="P8" i="6"/>
  <c r="X8" i="6" s="1"/>
  <c r="AE8" i="6" s="1"/>
  <c r="P10" i="6"/>
  <c r="X10" i="6" s="1"/>
  <c r="AE10" i="6" s="1"/>
  <c r="P12" i="6"/>
  <c r="X12" i="6" s="1"/>
  <c r="AE12" i="6" s="1"/>
  <c r="P14" i="6"/>
  <c r="X14" i="6" s="1"/>
  <c r="AE14" i="6" s="1"/>
  <c r="R3" i="6"/>
  <c r="Z3" i="6" s="1"/>
  <c r="R5" i="6"/>
  <c r="Z5" i="6" s="1"/>
  <c r="AG5" i="6" s="1"/>
  <c r="R7" i="6"/>
  <c r="Z7" i="6" s="1"/>
  <c r="AG7" i="6" s="1"/>
  <c r="R9" i="6"/>
  <c r="Z9" i="6" s="1"/>
  <c r="AG9" i="6" s="1"/>
  <c r="R11" i="6"/>
  <c r="Z11" i="6" s="1"/>
  <c r="AG11" i="6" s="1"/>
  <c r="R13" i="6"/>
  <c r="Z13" i="6" s="1"/>
  <c r="AG13" i="6" s="1"/>
  <c r="T4" i="6"/>
  <c r="AB4" i="6" s="1"/>
  <c r="AI4" i="6" s="1"/>
  <c r="T6" i="6"/>
  <c r="AB6" i="6" s="1"/>
  <c r="AI6" i="6" s="1"/>
  <c r="T8" i="6"/>
  <c r="AB8" i="6" s="1"/>
  <c r="AI8" i="6" s="1"/>
  <c r="T10" i="6"/>
  <c r="AB10" i="6" s="1"/>
  <c r="AI10" i="6" s="1"/>
  <c r="T12" i="6"/>
  <c r="AB12" i="6" s="1"/>
  <c r="AI12" i="6" s="1"/>
  <c r="T14" i="6"/>
  <c r="AB14" i="6" s="1"/>
  <c r="AI14" i="6" s="1"/>
  <c r="Q16" i="6"/>
  <c r="V8" i="13"/>
  <c r="V7" i="13"/>
  <c r="V13" i="13"/>
  <c r="Q3" i="6"/>
  <c r="Y3" i="6" s="1"/>
  <c r="Q11" i="6"/>
  <c r="Y11" i="6" s="1"/>
  <c r="AF11" i="6" s="1"/>
  <c r="S7" i="6"/>
  <c r="AA7" i="6" s="1"/>
  <c r="AH7" i="6" s="1"/>
  <c r="U8" i="6"/>
  <c r="AC8" i="6" s="1"/>
  <c r="AJ8" i="6" s="1"/>
  <c r="Q6" i="6"/>
  <c r="Y6" i="6" s="1"/>
  <c r="AF6" i="6" s="1"/>
  <c r="Q14" i="6"/>
  <c r="Y14" i="6" s="1"/>
  <c r="AF14" i="6" s="1"/>
  <c r="S10" i="6"/>
  <c r="AA10" i="6" s="1"/>
  <c r="AH10" i="6" s="1"/>
  <c r="U3" i="6"/>
  <c r="AC3" i="6" s="1"/>
  <c r="U11" i="6"/>
  <c r="AC11" i="6" s="1"/>
  <c r="AJ11" i="6" s="1"/>
  <c r="Q7" i="6"/>
  <c r="Y7" i="6" s="1"/>
  <c r="AF7" i="6" s="1"/>
  <c r="S3" i="6"/>
  <c r="AA3" i="6" s="1"/>
  <c r="S11" i="6"/>
  <c r="AA11" i="6" s="1"/>
  <c r="AH11" i="6" s="1"/>
  <c r="U4" i="6"/>
  <c r="AC4" i="6" s="1"/>
  <c r="AJ4" i="6" s="1"/>
  <c r="U12" i="6"/>
  <c r="AC12" i="6" s="1"/>
  <c r="AJ12" i="6" s="1"/>
  <c r="V14" i="13"/>
  <c r="Q10" i="6"/>
  <c r="Y10" i="6" s="1"/>
  <c r="AF10" i="6" s="1"/>
  <c r="S6" i="6"/>
  <c r="AA6" i="6" s="1"/>
  <c r="AH6" i="6" s="1"/>
  <c r="S14" i="6"/>
  <c r="AA14" i="6" s="1"/>
  <c r="AH14" i="6" s="1"/>
  <c r="U7" i="6"/>
  <c r="AC7" i="6" s="1"/>
  <c r="AJ7" i="6" s="1"/>
  <c r="V12" i="13"/>
  <c r="T14" i="13"/>
  <c r="T11" i="13"/>
  <c r="T13" i="13"/>
  <c r="T7" i="13"/>
  <c r="T12" i="13"/>
  <c r="M15" i="6"/>
  <c r="Y10" i="13" l="1"/>
  <c r="N10" i="13"/>
  <c r="P10" i="13"/>
  <c r="L10" i="13"/>
  <c r="F5" i="13"/>
  <c r="L5" i="13" s="1"/>
  <c r="W11" i="13"/>
  <c r="W4" i="13"/>
  <c r="W15" i="13"/>
  <c r="W10" i="13"/>
  <c r="W6" i="13"/>
  <c r="N17" i="6"/>
  <c r="W13" i="13"/>
  <c r="W8" i="13"/>
  <c r="W14" i="13"/>
  <c r="W9" i="13"/>
  <c r="X9" i="13" s="1"/>
  <c r="W12" i="13"/>
  <c r="W5" i="13"/>
  <c r="U12" i="13"/>
  <c r="K17" i="8"/>
  <c r="L17" i="8" s="1"/>
  <c r="L15" i="8"/>
  <c r="M15" i="8" s="1"/>
  <c r="H18" i="8"/>
  <c r="K18" i="8"/>
  <c r="U13" i="13"/>
  <c r="U11" i="13"/>
  <c r="U6" i="13"/>
  <c r="U4" i="13"/>
  <c r="I18" i="8"/>
  <c r="J18" i="8" s="1"/>
  <c r="U10" i="13"/>
  <c r="U7" i="13"/>
  <c r="X7" i="13" s="1"/>
  <c r="U15" i="13"/>
  <c r="U14" i="13"/>
  <c r="U5" i="13"/>
  <c r="U8" i="13"/>
  <c r="E10" i="13"/>
  <c r="F50" i="1"/>
  <c r="I10" i="13" s="1"/>
  <c r="E17" i="8"/>
  <c r="D5" i="13"/>
  <c r="G5" i="13" s="1"/>
  <c r="M5" i="13" s="1"/>
  <c r="D8" i="13"/>
  <c r="G8" i="13" s="1"/>
  <c r="F7" i="13"/>
  <c r="D7" i="13"/>
  <c r="E7" i="13" s="1"/>
  <c r="F11" i="13"/>
  <c r="L11" i="13" s="1"/>
  <c r="D11" i="13"/>
  <c r="G11" i="13" s="1"/>
  <c r="F13" i="13"/>
  <c r="L13" i="13" s="1"/>
  <c r="D13" i="13"/>
  <c r="E13" i="13" s="1"/>
  <c r="D6" i="13"/>
  <c r="E6" i="13" s="1"/>
  <c r="D14" i="13"/>
  <c r="G14" i="13" s="1"/>
  <c r="D9" i="13"/>
  <c r="G9" i="13" s="1"/>
  <c r="D12" i="13"/>
  <c r="E12" i="13" s="1"/>
  <c r="F9" i="13"/>
  <c r="H9" i="13" s="1"/>
  <c r="AE9" i="13" s="1"/>
  <c r="AF9" i="13" s="1"/>
  <c r="F4" i="13"/>
  <c r="L4" i="13" s="1"/>
  <c r="D4" i="13"/>
  <c r="F15" i="13"/>
  <c r="N15" i="13" s="1"/>
  <c r="D15" i="13"/>
  <c r="G15" i="13" s="1"/>
  <c r="M17" i="6"/>
  <c r="H21" i="8"/>
  <c r="K21" i="8"/>
  <c r="J15" i="8"/>
  <c r="O15" i="8"/>
  <c r="P15" i="8" s="1"/>
  <c r="F12" i="13"/>
  <c r="P12" i="13" s="1"/>
  <c r="K16" i="8"/>
  <c r="E16" i="8"/>
  <c r="G16" i="8" s="1"/>
  <c r="N16" i="8" s="1"/>
  <c r="H16" i="8"/>
  <c r="K22" i="8"/>
  <c r="H22" i="8"/>
  <c r="E22" i="8"/>
  <c r="E20" i="8"/>
  <c r="K20" i="8"/>
  <c r="H20" i="8"/>
  <c r="K23" i="8"/>
  <c r="E23" i="8"/>
  <c r="H23" i="8"/>
  <c r="K19" i="8"/>
  <c r="H19" i="8"/>
  <c r="E19" i="8"/>
  <c r="F8" i="13"/>
  <c r="P8" i="13" s="1"/>
  <c r="C16" i="13"/>
  <c r="K11" i="1" s="1"/>
  <c r="F6" i="13"/>
  <c r="F14" i="13"/>
  <c r="AJ3" i="6"/>
  <c r="AJ15" i="6" s="1"/>
  <c r="AC15" i="6"/>
  <c r="U15" i="6" s="1"/>
  <c r="U17" i="6" s="1"/>
  <c r="T16" i="13"/>
  <c r="G6" i="1" s="1"/>
  <c r="AE3" i="6"/>
  <c r="AE15" i="6" s="1"/>
  <c r="X15" i="6"/>
  <c r="P15" i="6" s="1"/>
  <c r="P17" i="6" s="1"/>
  <c r="Q10" i="13"/>
  <c r="M10" i="13"/>
  <c r="AG3" i="6"/>
  <c r="AG15" i="6" s="1"/>
  <c r="Z15" i="6"/>
  <c r="R15" i="6" s="1"/>
  <c r="R17" i="6" s="1"/>
  <c r="G21" i="8"/>
  <c r="N21" i="8" s="1"/>
  <c r="Y15" i="6"/>
  <c r="Q15" i="6" s="1"/>
  <c r="Q17" i="6" s="1"/>
  <c r="AF3" i="6"/>
  <c r="AF15" i="6" s="1"/>
  <c r="AB15" i="6"/>
  <c r="T15" i="6" s="1"/>
  <c r="T17" i="6" s="1"/>
  <c r="AI3" i="6"/>
  <c r="AI15" i="6" s="1"/>
  <c r="V16" i="13"/>
  <c r="G7" i="1" s="1"/>
  <c r="AH3" i="6"/>
  <c r="AH15" i="6" s="1"/>
  <c r="AA15" i="6"/>
  <c r="S15" i="6" s="1"/>
  <c r="S17" i="6" s="1"/>
  <c r="AI13" i="13" l="1"/>
  <c r="AJ13" i="13" s="1"/>
  <c r="AI10" i="13"/>
  <c r="AJ10" i="13" s="1"/>
  <c r="AI6" i="13"/>
  <c r="AJ6" i="13" s="1"/>
  <c r="AI12" i="13"/>
  <c r="AJ12" i="13" s="1"/>
  <c r="AI7" i="13"/>
  <c r="AJ7" i="13" s="1"/>
  <c r="AG10" i="13"/>
  <c r="AH10" i="13" s="1"/>
  <c r="Y9" i="13"/>
  <c r="R10" i="13"/>
  <c r="N5" i="13"/>
  <c r="X15" i="13"/>
  <c r="H5" i="13"/>
  <c r="AE5" i="13" s="1"/>
  <c r="AF5" i="13" s="1"/>
  <c r="P5" i="13"/>
  <c r="Z10" i="13"/>
  <c r="X10" i="13"/>
  <c r="X4" i="13"/>
  <c r="X11" i="13"/>
  <c r="X13" i="13"/>
  <c r="X6" i="13"/>
  <c r="X5" i="13"/>
  <c r="X12" i="13"/>
  <c r="X14" i="13"/>
  <c r="W16" i="13"/>
  <c r="F7" i="1" s="1"/>
  <c r="D7" i="1" s="1"/>
  <c r="L18" i="8"/>
  <c r="M18" i="8" s="1"/>
  <c r="I16" i="8"/>
  <c r="O16" i="8" s="1"/>
  <c r="P16" i="8" s="1"/>
  <c r="E11" i="13"/>
  <c r="X8" i="13"/>
  <c r="P15" i="13"/>
  <c r="R15" i="13" s="1"/>
  <c r="L15" i="13"/>
  <c r="P13" i="13"/>
  <c r="I11" i="13"/>
  <c r="O10" i="13"/>
  <c r="S10" i="13" s="1"/>
  <c r="P9" i="13"/>
  <c r="L22" i="8"/>
  <c r="M22" i="8" s="1"/>
  <c r="N11" i="13"/>
  <c r="H15" i="13"/>
  <c r="AE15" i="13" s="1"/>
  <c r="AF15" i="13" s="1"/>
  <c r="M17" i="8"/>
  <c r="G17" i="8"/>
  <c r="N17" i="8" s="1"/>
  <c r="L19" i="8"/>
  <c r="M19" i="8" s="1"/>
  <c r="L23" i="8"/>
  <c r="M23" i="8" s="1"/>
  <c r="O18" i="8"/>
  <c r="P18" i="8" s="1"/>
  <c r="E9" i="13"/>
  <c r="U16" i="13"/>
  <c r="F6" i="1" s="1"/>
  <c r="D6" i="1" s="1"/>
  <c r="L9" i="13"/>
  <c r="L20" i="8"/>
  <c r="M20" i="8" s="1"/>
  <c r="L16" i="8"/>
  <c r="M16" i="8" s="1"/>
  <c r="E14" i="13"/>
  <c r="M14" i="13"/>
  <c r="O14" i="13"/>
  <c r="E5" i="13"/>
  <c r="H11" i="13"/>
  <c r="AE11" i="13" s="1"/>
  <c r="AF11" i="13" s="1"/>
  <c r="N12" i="13"/>
  <c r="R12" i="13" s="1"/>
  <c r="I5" i="13"/>
  <c r="L8" i="13"/>
  <c r="N13" i="13"/>
  <c r="Q5" i="13"/>
  <c r="P11" i="13"/>
  <c r="O5" i="13"/>
  <c r="M9" i="13"/>
  <c r="O9" i="13"/>
  <c r="Q9" i="13"/>
  <c r="I9" i="13"/>
  <c r="I15" i="13"/>
  <c r="O15" i="13"/>
  <c r="M8" i="13"/>
  <c r="O8" i="13"/>
  <c r="Q8" i="13"/>
  <c r="I8" i="13"/>
  <c r="D16" i="13"/>
  <c r="L7" i="13"/>
  <c r="P7" i="13"/>
  <c r="H7" i="13"/>
  <c r="AE7" i="13" s="1"/>
  <c r="AF7" i="13" s="1"/>
  <c r="N7" i="13"/>
  <c r="I14" i="13"/>
  <c r="N4" i="13"/>
  <c r="G6" i="13"/>
  <c r="N9" i="13"/>
  <c r="K7" i="1"/>
  <c r="E8" i="13"/>
  <c r="G7" i="13"/>
  <c r="Q14" i="13"/>
  <c r="H4" i="13"/>
  <c r="AE4" i="13" s="1"/>
  <c r="AF4" i="13" s="1"/>
  <c r="E4" i="13"/>
  <c r="G12" i="13"/>
  <c r="P4" i="13"/>
  <c r="E15" i="13"/>
  <c r="F44" i="1"/>
  <c r="G4" i="13"/>
  <c r="O4" i="13" s="1"/>
  <c r="N8" i="13"/>
  <c r="R8" i="13" s="1"/>
  <c r="G13" i="13"/>
  <c r="H13" i="13"/>
  <c r="AE13" i="13" s="1"/>
  <c r="AF13" i="13" s="1"/>
  <c r="M11" i="13"/>
  <c r="G23" i="8"/>
  <c r="N23" i="8" s="1"/>
  <c r="O11" i="13"/>
  <c r="Q11" i="13"/>
  <c r="L21" i="8"/>
  <c r="M21" i="8" s="1"/>
  <c r="G19" i="8"/>
  <c r="N19" i="8" s="1"/>
  <c r="H12" i="13"/>
  <c r="AE12" i="13" s="1"/>
  <c r="AF12" i="13" s="1"/>
  <c r="G20" i="8"/>
  <c r="N20" i="8" s="1"/>
  <c r="L12" i="13"/>
  <c r="G22" i="8"/>
  <c r="N22" i="8" s="1"/>
  <c r="H8" i="13"/>
  <c r="AE8" i="13" s="1"/>
  <c r="AF8" i="13" s="1"/>
  <c r="Q15" i="13"/>
  <c r="F16" i="13"/>
  <c r="M15" i="13"/>
  <c r="N6" i="13"/>
  <c r="L6" i="13"/>
  <c r="H6" i="13"/>
  <c r="AE6" i="13" s="1"/>
  <c r="AF6" i="13" s="1"/>
  <c r="P6" i="13"/>
  <c r="H14" i="13"/>
  <c r="AE14" i="13" s="1"/>
  <c r="AF14" i="13" s="1"/>
  <c r="N14" i="13"/>
  <c r="L14" i="13"/>
  <c r="P14" i="13"/>
  <c r="AH16" i="6"/>
  <c r="AH17" i="6"/>
  <c r="I21" i="8"/>
  <c r="AJ16" i="6"/>
  <c r="AJ17" i="6"/>
  <c r="J10" i="13"/>
  <c r="R18" i="6"/>
  <c r="AE16" i="6"/>
  <c r="AE17" i="6"/>
  <c r="AF17" i="6"/>
  <c r="AF16" i="6"/>
  <c r="AG16" i="6"/>
  <c r="AG17" i="6"/>
  <c r="AI16" i="6"/>
  <c r="AI17" i="6"/>
  <c r="AI5" i="13" l="1"/>
  <c r="AJ5" i="13" s="1"/>
  <c r="AI8" i="13"/>
  <c r="AJ8" i="13" s="1"/>
  <c r="AI14" i="13"/>
  <c r="AJ14" i="13" s="1"/>
  <c r="AI4" i="13"/>
  <c r="AJ4" i="13" s="1"/>
  <c r="AI9" i="13"/>
  <c r="AJ9" i="13" s="1"/>
  <c r="AI11" i="13"/>
  <c r="AJ11" i="13" s="1"/>
  <c r="AI15" i="13"/>
  <c r="AJ15" i="13" s="1"/>
  <c r="AG8" i="13"/>
  <c r="AH8" i="13" s="1"/>
  <c r="AG14" i="13"/>
  <c r="AH14" i="13" s="1"/>
  <c r="AG15" i="13"/>
  <c r="AH15" i="13" s="1"/>
  <c r="AG11" i="13"/>
  <c r="AH11" i="13" s="1"/>
  <c r="AG9" i="13"/>
  <c r="AH9" i="13" s="1"/>
  <c r="AG5" i="13"/>
  <c r="AH5" i="13" s="1"/>
  <c r="Y6" i="13"/>
  <c r="Y15" i="13"/>
  <c r="Y13" i="13"/>
  <c r="Y11" i="13"/>
  <c r="Y5" i="13"/>
  <c r="Y12" i="13"/>
  <c r="Y4" i="13"/>
  <c r="Y7" i="13"/>
  <c r="Y14" i="13"/>
  <c r="Y8" i="13"/>
  <c r="R5" i="13"/>
  <c r="Z14" i="13"/>
  <c r="J5" i="13"/>
  <c r="J9" i="13"/>
  <c r="Z5" i="13"/>
  <c r="Z8" i="13"/>
  <c r="Z15" i="13"/>
  <c r="Z9" i="13"/>
  <c r="Z11" i="13"/>
  <c r="X16" i="13"/>
  <c r="J16" i="8"/>
  <c r="R11" i="13"/>
  <c r="R13" i="13"/>
  <c r="F45" i="1"/>
  <c r="S5" i="13"/>
  <c r="S14" i="13"/>
  <c r="R9" i="13"/>
  <c r="I17" i="8"/>
  <c r="O17" i="8" s="1"/>
  <c r="P17" i="8" s="1"/>
  <c r="J15" i="13"/>
  <c r="M4" i="13"/>
  <c r="S9" i="13"/>
  <c r="E16" i="13"/>
  <c r="K8" i="1" s="1"/>
  <c r="R4" i="13"/>
  <c r="J11" i="13"/>
  <c r="S8" i="13"/>
  <c r="G16" i="13"/>
  <c r="R7" i="13"/>
  <c r="S15" i="13"/>
  <c r="I19" i="8"/>
  <c r="J19" i="8" s="1"/>
  <c r="I22" i="8"/>
  <c r="J22" i="8" s="1"/>
  <c r="M13" i="13"/>
  <c r="Q13" i="13"/>
  <c r="I13" i="13"/>
  <c r="AG13" i="13" s="1"/>
  <c r="AH13" i="13" s="1"/>
  <c r="O13" i="13"/>
  <c r="Q6" i="13"/>
  <c r="M6" i="13"/>
  <c r="O6" i="13"/>
  <c r="I6" i="13"/>
  <c r="AG6" i="13" s="1"/>
  <c r="AH6" i="13" s="1"/>
  <c r="O7" i="13"/>
  <c r="I7" i="13"/>
  <c r="AG7" i="13" s="1"/>
  <c r="AH7" i="13" s="1"/>
  <c r="Q7" i="13"/>
  <c r="M7" i="13"/>
  <c r="P16" i="13"/>
  <c r="G9" i="1" s="1"/>
  <c r="N16" i="13"/>
  <c r="G8" i="1" s="1"/>
  <c r="Q4" i="13"/>
  <c r="J8" i="13"/>
  <c r="I4" i="13"/>
  <c r="AG4" i="13" s="1"/>
  <c r="AH4" i="13" s="1"/>
  <c r="M12" i="13"/>
  <c r="O12" i="13"/>
  <c r="I12" i="13"/>
  <c r="AG12" i="13" s="1"/>
  <c r="AH12" i="13" s="1"/>
  <c r="Q12" i="13"/>
  <c r="S11" i="13"/>
  <c r="I20" i="8"/>
  <c r="I23" i="8"/>
  <c r="H16" i="13"/>
  <c r="J14" i="13"/>
  <c r="R6" i="13"/>
  <c r="L16" i="13"/>
  <c r="G5" i="1" s="1"/>
  <c r="R14" i="13"/>
  <c r="O21" i="8"/>
  <c r="P21" i="8" s="1"/>
  <c r="J21" i="8"/>
  <c r="Z4" i="13" l="1"/>
  <c r="AE16" i="13"/>
  <c r="AF16" i="13"/>
  <c r="J17" i="8"/>
  <c r="Z12" i="13"/>
  <c r="Z13" i="13"/>
  <c r="J4" i="13"/>
  <c r="Z7" i="13"/>
  <c r="Z6" i="13"/>
  <c r="AA12" i="13"/>
  <c r="AA11" i="13"/>
  <c r="AA4" i="13"/>
  <c r="AA10" i="13"/>
  <c r="AA9" i="13"/>
  <c r="AA13" i="13"/>
  <c r="AA5" i="13"/>
  <c r="AA16" i="13"/>
  <c r="AA8" i="13"/>
  <c r="AA15" i="13"/>
  <c r="AA7" i="13"/>
  <c r="U17" i="13"/>
  <c r="AA14" i="13"/>
  <c r="AA6" i="13"/>
  <c r="G4" i="1"/>
  <c r="O19" i="8"/>
  <c r="P19" i="8" s="1"/>
  <c r="J12" i="13"/>
  <c r="O22" i="8"/>
  <c r="P22" i="8" s="1"/>
  <c r="S13" i="13"/>
  <c r="S7" i="13"/>
  <c r="M16" i="13"/>
  <c r="F5" i="1" s="1"/>
  <c r="D5" i="1" s="1"/>
  <c r="I16" i="13"/>
  <c r="S4" i="13"/>
  <c r="Q16" i="13"/>
  <c r="F9" i="1" s="1"/>
  <c r="D9" i="1" s="1"/>
  <c r="S6" i="13"/>
  <c r="O16" i="13"/>
  <c r="F8" i="1" s="1"/>
  <c r="D8" i="1" s="1"/>
  <c r="J6" i="13"/>
  <c r="S12" i="13"/>
  <c r="J13" i="13"/>
  <c r="J7" i="13"/>
  <c r="J23" i="8"/>
  <c r="O23" i="8"/>
  <c r="P23" i="8" s="1"/>
  <c r="J20" i="8"/>
  <c r="O20" i="8"/>
  <c r="P20" i="8" s="1"/>
  <c r="R16" i="13"/>
  <c r="Y16" i="13"/>
  <c r="Y17" i="13" s="1"/>
  <c r="W17" i="13" l="1"/>
  <c r="AF17" i="13"/>
  <c r="G13" i="1"/>
  <c r="G9" i="14" s="1"/>
  <c r="AG16" i="13"/>
  <c r="AH16" i="13"/>
  <c r="AH17" i="13" s="1"/>
  <c r="AB16" i="13"/>
  <c r="AB8" i="13"/>
  <c r="AB4" i="13"/>
  <c r="AB15" i="13"/>
  <c r="AB7" i="13"/>
  <c r="AB14" i="13"/>
  <c r="AB6" i="13"/>
  <c r="AB13" i="13"/>
  <c r="AB5" i="13"/>
  <c r="AB9" i="13"/>
  <c r="AB12" i="13"/>
  <c r="U18" i="13"/>
  <c r="AB11" i="13"/>
  <c r="AB10" i="13"/>
  <c r="K4" i="13"/>
  <c r="Z16" i="13"/>
  <c r="Z17" i="13" s="1"/>
  <c r="J16" i="13"/>
  <c r="S16" i="13"/>
  <c r="K6" i="13"/>
  <c r="F4" i="1"/>
  <c r="K5" i="13"/>
  <c r="K15" i="13"/>
  <c r="K11" i="13"/>
  <c r="K14" i="13"/>
  <c r="K10" i="13"/>
  <c r="K13" i="13"/>
  <c r="K8" i="13"/>
  <c r="K9" i="13"/>
  <c r="K12" i="13"/>
  <c r="K7" i="13"/>
  <c r="W18" i="13" l="1"/>
  <c r="D8" i="14"/>
  <c r="F13" i="1"/>
  <c r="AC12" i="13"/>
  <c r="AC5" i="13"/>
  <c r="AC9" i="13"/>
  <c r="AC8" i="13"/>
  <c r="AC6" i="13"/>
  <c r="AC13" i="13"/>
  <c r="AC10" i="13"/>
  <c r="AC14" i="13"/>
  <c r="AC11" i="13"/>
  <c r="AC7" i="13"/>
  <c r="AC15" i="13"/>
  <c r="AC4" i="13"/>
  <c r="G8" i="14"/>
  <c r="F15" i="1"/>
  <c r="D4" i="1"/>
  <c r="D9" i="14"/>
  <c r="K16" i="13"/>
  <c r="I52" i="1"/>
  <c r="AC16" i="13" l="1"/>
  <c r="AI16" i="13"/>
  <c r="AJ16" i="13"/>
  <c r="AJ17" i="13" s="1"/>
  <c r="F9" i="14"/>
  <c r="E9" i="14" s="1"/>
  <c r="B9" i="14" s="1"/>
  <c r="D14" i="1"/>
  <c r="F8" i="14"/>
  <c r="E8" i="14" s="1"/>
  <c r="B8" i="14" s="1"/>
  <c r="B5" i="14" l="1"/>
  <c r="C5" i="14" s="1"/>
  <c r="F16" i="1" s="1"/>
  <c r="C9" i="14"/>
  <c r="C8" i="14"/>
  <c r="F17" i="1" l="1"/>
</calcChain>
</file>

<file path=xl/sharedStrings.xml><?xml version="1.0" encoding="utf-8"?>
<sst xmlns="http://schemas.openxmlformats.org/spreadsheetml/2006/main" count="581" uniqueCount="383">
  <si>
    <t>Nbr</t>
  </si>
  <si>
    <t>Ndu</t>
  </si>
  <si>
    <t>CAPw</t>
  </si>
  <si>
    <t>Plumbing Fixture Description</t>
  </si>
  <si>
    <t>Feff</t>
  </si>
  <si>
    <t>Distribution System Description</t>
  </si>
  <si>
    <t>Recirculation System Description</t>
  </si>
  <si>
    <t>dWcap</t>
  </si>
  <si>
    <t>LER</t>
  </si>
  <si>
    <t>AGC</t>
  </si>
  <si>
    <t>Efact</t>
  </si>
  <si>
    <t>re, none</t>
  </si>
  <si>
    <t>re, temp</t>
  </si>
  <si>
    <t>re, dmd</t>
  </si>
  <si>
    <t>re, man</t>
  </si>
  <si>
    <t>std</t>
  </si>
  <si>
    <t>low</t>
  </si>
  <si>
    <t>HWgpd</t>
  </si>
  <si>
    <t>Tavg</t>
  </si>
  <si>
    <t>User input fields are yellow</t>
  </si>
  <si>
    <t>pumpkWh/y</t>
  </si>
  <si>
    <t>all</t>
  </si>
  <si>
    <t>one</t>
  </si>
  <si>
    <t>no</t>
  </si>
  <si>
    <t>WH Type</t>
  </si>
  <si>
    <t>gas</t>
  </si>
  <si>
    <t>elec</t>
  </si>
  <si>
    <t>yes</t>
  </si>
  <si>
    <t>Miami</t>
  </si>
  <si>
    <t>Month</t>
  </si>
  <si>
    <t>diff</t>
  </si>
  <si>
    <t>TairAvg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</si>
  <si>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</si>
  <si>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</si>
  <si>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</si>
  <si>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</si>
  <si>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</si>
  <si>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</si>
  <si>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</si>
  <si>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</si>
  <si>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</si>
  <si>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</si>
  <si>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</si>
  <si>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</si>
  <si>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Tmains from EnergyGauge USA</t>
  </si>
  <si>
    <t>Monthly HWgpd</t>
  </si>
  <si>
    <t>Tmains_offset =</t>
  </si>
  <si>
    <t>HW gallons per month</t>
  </si>
  <si>
    <t>#Days</t>
  </si>
  <si>
    <t>average diff =</t>
  </si>
  <si>
    <t>Avg/wtdAvg</t>
  </si>
  <si>
    <t>occ</t>
  </si>
  <si>
    <t>x</t>
  </si>
  <si>
    <t>LocF</t>
  </si>
  <si>
    <t>%waste</t>
  </si>
  <si>
    <t>Wgpd</t>
  </si>
  <si>
    <t>%waste = 0.256 -0.016*occ</t>
  </si>
  <si>
    <t>CWgpd =</t>
  </si>
  <si>
    <t>DWgpd =</t>
  </si>
  <si>
    <t>FixF =</t>
  </si>
  <si>
    <t>LocF =</t>
  </si>
  <si>
    <t>PLC =</t>
  </si>
  <si>
    <t>PLCfactor =</t>
  </si>
  <si>
    <t>Equal flow?</t>
  </si>
  <si>
    <t>Table 4.2.2.5.2.11(3) Distribution system water use effectiveness</t>
  </si>
  <si>
    <r>
      <t>Table 4.2.2.5.2.11(5) Annual electricity consumption for hot water recirculation system pumps</t>
    </r>
    <r>
      <rPr>
        <sz val="11"/>
        <rFont val="Calibri"/>
        <family val="2"/>
        <scheme val="minor"/>
      </rPr>
      <t> </t>
    </r>
  </si>
  <si>
    <t>and:</t>
  </si>
  <si>
    <t>Wpred</t>
  </si>
  <si>
    <t>Fgpd</t>
  </si>
  <si>
    <t>Fpred</t>
  </si>
  <si>
    <t>%error</t>
  </si>
  <si>
    <t>Fmix_57</t>
  </si>
  <si>
    <t>Tmains =</t>
  </si>
  <si>
    <t>WHinT =</t>
  </si>
  <si>
    <t>pRatio =</t>
  </si>
  <si>
    <t>%waste*</t>
  </si>
  <si>
    <t>* Derived from values proposed by Van Decker</t>
  </si>
  <si>
    <t>nWgdp</t>
  </si>
  <si>
    <t>nFgdp</t>
  </si>
  <si>
    <t>normalixed to Fmix</t>
  </si>
  <si>
    <t>DWHRinT =</t>
  </si>
  <si>
    <t>sysFactor =</t>
  </si>
  <si>
    <t>pLength =</t>
  </si>
  <si>
    <t>Ifrac =</t>
  </si>
  <si>
    <t>Table 4.2.2.5.2.11(4)  Location factors for DWHRU placement</t>
  </si>
  <si>
    <t>Table 4.2.2.5.2.11(6) Hot water distribution system annual energy delivery effectiveness</t>
  </si>
  <si>
    <t>Table 4.2.2.5.2.11(1) Hot water fixture effectiveness</t>
  </si>
  <si>
    <t>none</t>
  </si>
  <si>
    <t>refDWgpd =</t>
  </si>
  <si>
    <t>refCWgpd =</t>
  </si>
  <si>
    <t>Home characteristics:</t>
  </si>
  <si>
    <t xml:space="preserve">only the fixture </t>
  </si>
  <si>
    <t>only the water heater</t>
  </si>
  <si>
    <t>both the fixture and water heater</t>
  </si>
  <si>
    <t>Δ gpd</t>
  </si>
  <si>
    <t>DW_EF</t>
  </si>
  <si>
    <t>Other named variables:</t>
  </si>
  <si>
    <t>#DWHRU</t>
  </si>
  <si>
    <t>Eq. Flow?</t>
  </si>
  <si>
    <t>fix eff</t>
  </si>
  <si>
    <t>sys type</t>
  </si>
  <si>
    <t>Pull down lists:</t>
  </si>
  <si>
    <t>CFA</t>
  </si>
  <si>
    <t>Bsmt</t>
  </si>
  <si>
    <t>EFuse =</t>
  </si>
  <si>
    <t>Fixture flow efficiency</t>
  </si>
  <si>
    <t>use rated EFs?</t>
  </si>
  <si>
    <t>HWgpd**</t>
  </si>
  <si>
    <t>Showers connected</t>
  </si>
  <si>
    <t>DWHR Placement</t>
  </si>
  <si>
    <t>low-flow</t>
  </si>
  <si>
    <t>(this value used only in this spreadsheet; CMP uses actual Tmain calculation relfected by row 15)</t>
  </si>
  <si>
    <t>HWpred</t>
  </si>
  <si>
    <t>Monthly Fmix</t>
  </si>
  <si>
    <t>(nW+nF)gpd</t>
  </si>
  <si>
    <r>
      <t>F</t>
    </r>
    <r>
      <rPr>
        <vertAlign val="subscript"/>
        <sz val="11"/>
        <rFont val="Calibri"/>
        <family val="2"/>
        <scheme val="minor"/>
      </rPr>
      <t>mix</t>
    </r>
    <r>
      <rPr>
        <sz val="11"/>
        <rFont val="Calibri"/>
        <family val="2"/>
        <scheme val="minor"/>
      </rPr>
      <t xml:space="preserve"> =</t>
    </r>
  </si>
  <si>
    <r>
      <t>adjF</t>
    </r>
    <r>
      <rPr>
        <vertAlign val="subscript"/>
        <sz val="11"/>
        <rFont val="Calibri"/>
        <family val="2"/>
        <scheme val="minor"/>
      </rPr>
      <t xml:space="preserve">mix </t>
    </r>
    <r>
      <rPr>
        <sz val="11"/>
        <rFont val="Calibri"/>
        <family val="2"/>
        <scheme val="minor"/>
      </rPr>
      <t>=</t>
    </r>
  </si>
  <si>
    <r>
      <t>F</t>
    </r>
    <r>
      <rPr>
        <vertAlign val="subscript"/>
        <sz val="11"/>
        <rFont val="Calibri"/>
        <family val="2"/>
        <scheme val="minor"/>
      </rPr>
      <t>eff</t>
    </r>
    <r>
      <rPr>
        <sz val="11"/>
        <rFont val="Calibri"/>
        <family val="2"/>
        <scheme val="minor"/>
      </rPr>
      <t xml:space="preserve"> =</t>
    </r>
  </si>
  <si>
    <t>P-insul</t>
  </si>
  <si>
    <t>R-3</t>
  </si>
  <si>
    <t>Std</t>
  </si>
  <si>
    <t>System type</t>
  </si>
  <si>
    <t xml:space="preserve">none </t>
  </si>
  <si>
    <t>Table 4.2.2.5.2.11(2) Hot Water Distribution Factors</t>
  </si>
  <si>
    <t>HW pipe Insulation</t>
  </si>
  <si>
    <t>Std sys pipe length</t>
  </si>
  <si>
    <t>Recirc sys loop length</t>
  </si>
  <si>
    <t>Recirc sys branch length</t>
  </si>
  <si>
    <t>Recirc pumpWatts</t>
  </si>
  <si>
    <t>Nfl</t>
  </si>
  <si>
    <t>Btu/mo</t>
  </si>
  <si>
    <t>gas therms</t>
  </si>
  <si>
    <t>elec kWh</t>
  </si>
  <si>
    <t>City</t>
  </si>
  <si>
    <t>Tavg =</t>
  </si>
  <si>
    <t>TMY City</t>
  </si>
  <si>
    <t>% HW</t>
  </si>
  <si>
    <t>gdp_ratio =</t>
  </si>
  <si>
    <t>(data from egUSA runs)</t>
  </si>
  <si>
    <t>sWgdp =</t>
  </si>
  <si>
    <t>sEWfact =</t>
  </si>
  <si>
    <t>refWgdp =</t>
  </si>
  <si>
    <t>sWgpd</t>
  </si>
  <si>
    <t>refFgpd =</t>
  </si>
  <si>
    <t>Tset =</t>
  </si>
  <si>
    <t>Tuse =</t>
  </si>
  <si>
    <t>oWgdp</t>
  </si>
  <si>
    <t>oWgdp =</t>
  </si>
  <si>
    <t>oEWfact =</t>
  </si>
  <si>
    <t>Operational Factors:</t>
  </si>
  <si>
    <t>e-Star</t>
  </si>
  <si>
    <t>BestAv</t>
  </si>
  <si>
    <t>2008</t>
  </si>
  <si>
    <t>cWash</t>
  </si>
  <si>
    <t>dWash</t>
  </si>
  <si>
    <t>$/kWh</t>
  </si>
  <si>
    <t>$/therm</t>
  </si>
  <si>
    <t>DW heat recovery?</t>
  </si>
  <si>
    <t>Ref std sys pipe length =</t>
  </si>
  <si>
    <t>Ref recirc sys loop length =</t>
  </si>
  <si>
    <t>WHinTadj =</t>
  </si>
  <si>
    <r>
      <t>CSA 55.1 DWHR</t>
    </r>
    <r>
      <rPr>
        <b/>
        <vertAlign val="subscript"/>
        <sz val="11"/>
        <rFont val="Calibri"/>
        <family val="2"/>
        <scheme val="minor"/>
      </rPr>
      <t>eff</t>
    </r>
  </si>
  <si>
    <t>Clothes washers &amp; dishwashers:</t>
  </si>
  <si>
    <t>DWHR systems:</t>
  </si>
  <si>
    <t>Water use:</t>
  </si>
  <si>
    <t>Operational:</t>
  </si>
  <si>
    <t>Piping:</t>
  </si>
  <si>
    <t>LER =</t>
  </si>
  <si>
    <t>CAPw =</t>
  </si>
  <si>
    <t>kWh_cost =</t>
  </si>
  <si>
    <t>therm_cost =</t>
  </si>
  <si>
    <t>AGC =</t>
  </si>
  <si>
    <t>NCY =</t>
  </si>
  <si>
    <t>ACY =</t>
  </si>
  <si>
    <t>dWcap =</t>
  </si>
  <si>
    <t>DW_EF =</t>
  </si>
  <si>
    <r>
      <t>DWHR</t>
    </r>
    <r>
      <rPr>
        <vertAlign val="subscript"/>
        <sz val="11"/>
        <rFont val="Calibri"/>
        <family val="2"/>
        <scheme val="minor"/>
      </rPr>
      <t xml:space="preserve">eff </t>
    </r>
    <r>
      <rPr>
        <sz val="11"/>
        <rFont val="Calibri"/>
        <family val="2"/>
        <scheme val="minor"/>
      </rPr>
      <t>=</t>
    </r>
  </si>
  <si>
    <t>Example Hot Water System Calculations</t>
  </si>
  <si>
    <t>Water heater:</t>
  </si>
  <si>
    <t>rated EF gas</t>
  </si>
  <si>
    <t>rated EF elec</t>
  </si>
  <si>
    <t>Fuel type</t>
  </si>
  <si>
    <t>HERS calcs:</t>
  </si>
  <si>
    <t>Drain Water Heat Recovery:</t>
  </si>
  <si>
    <t>VintFact =</t>
  </si>
  <si>
    <t>** from Parker &amp; Lutz data as modified by Van Decker waste fraction</t>
  </si>
  <si>
    <t>On average, approximately 20% (~10 gallons per day) of hot water is wasted by typical distribution system (Klein &amp; Van Decker)</t>
  </si>
  <si>
    <t>assume distribution system wasted hot water to be a linear function of number of occupants, estimated as follows</t>
  </si>
  <si>
    <t>Occ = 1.09 + 0.54*Nbr (from Parker &amp; Lutz draft paper)</t>
  </si>
  <si>
    <t>Distribution system type</t>
  </si>
  <si>
    <t>(nW+nF)gpd = 23.98 + 11.88*Nbr</t>
  </si>
  <si>
    <t>Ifrac= 0.56 + 0.015*Nbr - 0.0004*Nbr^2</t>
  </si>
  <si>
    <t>nWgpd = 9.8*Nbr^0.43</t>
  </si>
  <si>
    <t>nFgpd = 14.6 + 10.0*Nbr</t>
  </si>
  <si>
    <t>Ifrac</t>
  </si>
  <si>
    <t>CWgpd</t>
  </si>
  <si>
    <t>DWgpd</t>
  </si>
  <si>
    <t>days</t>
  </si>
  <si>
    <t>Tmains</t>
  </si>
  <si>
    <t>Fmix</t>
  </si>
  <si>
    <t>refHWgpd</t>
  </si>
  <si>
    <t>adjFmix</t>
  </si>
  <si>
    <t>WHinTadj</t>
  </si>
  <si>
    <t>refFgpd</t>
  </si>
  <si>
    <t>refoWgpd</t>
  </si>
  <si>
    <t>refsWgpd</t>
  </si>
  <si>
    <t>oWgpd</t>
  </si>
  <si>
    <t>Average:</t>
  </si>
  <si>
    <t>refWgpd</t>
  </si>
  <si>
    <t>Monthly Results:</t>
  </si>
  <si>
    <t>∆gpd</t>
  </si>
  <si>
    <t>Ugpd</t>
  </si>
  <si>
    <t>Ugpd =</t>
  </si>
  <si>
    <t>refCWgpd</t>
  </si>
  <si>
    <t>refDWgpd</t>
  </si>
  <si>
    <t>∆APLgpd</t>
  </si>
  <si>
    <t>WHinT</t>
  </si>
  <si>
    <t>Jacksonville</t>
  </si>
  <si>
    <t>Tallahassee</t>
  </si>
  <si>
    <t>Orlando</t>
  </si>
  <si>
    <t>Jax</t>
  </si>
  <si>
    <t>Tally</t>
  </si>
  <si>
    <t>need to add Stby loss</t>
  </si>
  <si>
    <t>Tampa</t>
  </si>
  <si>
    <t>Daytona Bch</t>
  </si>
  <si>
    <t>Datona</t>
  </si>
  <si>
    <r>
      <t>WD</t>
    </r>
    <r>
      <rPr>
        <vertAlign val="subscript"/>
        <sz val="11"/>
        <rFont val="Calibri"/>
        <family val="2"/>
        <scheme val="minor"/>
      </rPr>
      <t>eff</t>
    </r>
  </si>
  <si>
    <r>
      <t>E</t>
    </r>
    <r>
      <rPr>
        <vertAlign val="subscript"/>
        <sz val="11"/>
        <rFont val="Calibri"/>
        <family val="2"/>
        <scheme val="minor"/>
      </rPr>
      <t>waste</t>
    </r>
  </si>
  <si>
    <r>
      <t>ED</t>
    </r>
    <r>
      <rPr>
        <vertAlign val="subscript"/>
        <sz val="11"/>
        <rFont val="Calibri"/>
        <family val="2"/>
        <scheme val="minor"/>
      </rPr>
      <t>eff</t>
    </r>
  </si>
  <si>
    <t xml:space="preserve">nMEUL = REUL * (nEC_x / EC_r) </t>
  </si>
  <si>
    <t>nEC_x = (a* EEC_x – b)*(EC_x * EC_r * DSE_r) / (EEC_x * REUL)</t>
  </si>
  <si>
    <t>HERS Index = PEfrac * (TnML / TRL) * 100</t>
  </si>
  <si>
    <t>ratio</t>
  </si>
  <si>
    <t>nMEUL</t>
  </si>
  <si>
    <t>REUL</t>
  </si>
  <si>
    <t>nEC_x</t>
  </si>
  <si>
    <t>EC_x</t>
  </si>
  <si>
    <t>EC_r</t>
  </si>
  <si>
    <t>DSE_r</t>
  </si>
  <si>
    <t>EEC_r</t>
  </si>
  <si>
    <t>EEC_x</t>
  </si>
  <si>
    <t>a</t>
  </si>
  <si>
    <t>b</t>
  </si>
  <si>
    <t>Florida Code values</t>
  </si>
  <si>
    <t>FL code Homes:</t>
  </si>
  <si>
    <t>Daytona Beach</t>
  </si>
  <si>
    <t>Reference</t>
  </si>
  <si>
    <t>Proposed</t>
  </si>
  <si>
    <t>e-Ratio</t>
  </si>
  <si>
    <t>Heating</t>
  </si>
  <si>
    <t>Cooling</t>
  </si>
  <si>
    <t>HW</t>
  </si>
  <si>
    <t>Total</t>
  </si>
  <si>
    <t>HW %</t>
  </si>
  <si>
    <t>HW Climate factor =</t>
  </si>
  <si>
    <t xml:space="preserve">  * Calculated using Florida Code nMEUL method</t>
  </si>
  <si>
    <r>
      <rPr>
        <b/>
        <sz val="11"/>
        <rFont val="Calibri"/>
        <family val="2"/>
      </rPr>
      <t xml:space="preserve">∆ </t>
    </r>
    <r>
      <rPr>
        <b/>
        <sz val="11"/>
        <rFont val="Calibri"/>
        <family val="2"/>
        <scheme val="minor"/>
      </rPr>
      <t>Water</t>
    </r>
  </si>
  <si>
    <r>
      <rPr>
        <b/>
        <sz val="11"/>
        <rFont val="Calibri"/>
        <family val="2"/>
      </rPr>
      <t xml:space="preserve">∆ </t>
    </r>
    <r>
      <rPr>
        <b/>
        <sz val="11"/>
        <rFont val="Calibri"/>
        <family val="2"/>
        <scheme val="minor"/>
      </rPr>
      <t>e-Ratio **</t>
    </r>
  </si>
  <si>
    <r>
      <t xml:space="preserve">** Estimate only. Actual </t>
    </r>
    <r>
      <rPr>
        <sz val="11"/>
        <rFont val="Calibri"/>
        <family val="2"/>
      </rPr>
      <t>∆ e-Ratio will depend on a</t>
    </r>
  </si>
  <si>
    <t xml:space="preserve">     large number of home configuration variables.</t>
  </si>
  <si>
    <t>Δ MBtu</t>
  </si>
  <si>
    <t>e_mult</t>
  </si>
  <si>
    <t>g_mult</t>
  </si>
  <si>
    <t>oFrac =</t>
  </si>
  <si>
    <r>
      <t>oCD</t>
    </r>
    <r>
      <rPr>
        <vertAlign val="subscript"/>
        <sz val="11"/>
        <rFont val="Calibri"/>
        <family val="2"/>
        <scheme val="minor"/>
      </rPr>
      <t xml:space="preserve">eff </t>
    </r>
    <r>
      <rPr>
        <sz val="11"/>
        <rFont val="Calibri"/>
        <family val="2"/>
        <scheme val="minor"/>
      </rPr>
      <t>=</t>
    </r>
  </si>
  <si>
    <t>Clothes washer =</t>
  </si>
  <si>
    <t>Dishwasher =</t>
  </si>
  <si>
    <t>Source Multipliers:</t>
  </si>
  <si>
    <r>
      <rPr>
        <b/>
        <sz val="11"/>
        <rFont val="Calibri"/>
        <family val="2"/>
      </rPr>
      <t xml:space="preserve">∆ HW </t>
    </r>
    <r>
      <rPr>
        <b/>
        <sz val="11"/>
        <rFont val="Calibri"/>
        <family val="2"/>
        <scheme val="minor"/>
      </rPr>
      <t>Energy *</t>
    </r>
  </si>
  <si>
    <t>Variable Name</t>
  </si>
  <si>
    <t>refAvgGpd</t>
  </si>
  <si>
    <t>AvgGpd</t>
  </si>
  <si>
    <t>Proposed (PD)</t>
  </si>
  <si>
    <t>Reference (RD)</t>
  </si>
  <si>
    <t>w.r.t. RD</t>
  </si>
  <si>
    <t>gpd</t>
  </si>
  <si>
    <t>kWh</t>
  </si>
  <si>
    <t>UkWh</t>
  </si>
  <si>
    <t>Bedrooms</t>
  </si>
  <si>
    <t>2-br</t>
  </si>
  <si>
    <t>3-br</t>
  </si>
  <si>
    <t>4-br</t>
  </si>
  <si>
    <t>MBtu</t>
  </si>
  <si>
    <r>
      <t>mCp</t>
    </r>
    <r>
      <rPr>
        <sz val="11"/>
        <color theme="1"/>
        <rFont val="Calibri"/>
        <family val="2"/>
      </rPr>
      <t>∆T</t>
    </r>
  </si>
  <si>
    <r>
      <t>EF = (mCp</t>
    </r>
    <r>
      <rPr>
        <sz val="11"/>
        <color theme="1"/>
        <rFont val="Calibri"/>
        <family val="2"/>
      </rPr>
      <t>∆T</t>
    </r>
    <r>
      <rPr>
        <sz val="11"/>
        <color theme="1"/>
        <rFont val="Calibri"/>
        <family val="2"/>
        <scheme val="minor"/>
      </rPr>
      <t>)/Qin</t>
    </r>
  </si>
  <si>
    <t>Actual Rheem 50 gal exterior tank size = 20.25" dia x 58.875 height</t>
  </si>
  <si>
    <r>
      <t>Qin= (mCp</t>
    </r>
    <r>
      <rPr>
        <sz val="11"/>
        <color theme="1"/>
        <rFont val="Calibri"/>
        <family val="2"/>
      </rPr>
      <t>∆T</t>
    </r>
    <r>
      <rPr>
        <sz val="11"/>
        <color theme="1"/>
        <rFont val="Calibri"/>
        <family val="2"/>
        <scheme val="minor"/>
      </rPr>
      <t>)/EF</t>
    </r>
  </si>
  <si>
    <t>vol = pi*r2*h</t>
  </si>
  <si>
    <t>area = 2*pi*r*h + 2*pi*r2</t>
  </si>
  <si>
    <t>ft (height)</t>
  </si>
  <si>
    <t>test conditions:</t>
  </si>
  <si>
    <t>h =</t>
  </si>
  <si>
    <t>ft (exterior)</t>
  </si>
  <si>
    <t>ft2 (full tank exterior)</t>
  </si>
  <si>
    <t>ft (radius)</t>
  </si>
  <si>
    <t>Ttank =</t>
  </si>
  <si>
    <t>gal =</t>
  </si>
  <si>
    <t>gal</t>
  </si>
  <si>
    <t>ft2 (sides)</t>
  </si>
  <si>
    <t>vol =</t>
  </si>
  <si>
    <t>ft3</t>
  </si>
  <si>
    <t>Tin =</t>
  </si>
  <si>
    <t>ft3/gal</t>
  </si>
  <si>
    <t>ft2 (top &amp; bottom)</t>
  </si>
  <si>
    <t>gpd =</t>
  </si>
  <si>
    <t xml:space="preserve"> for interior 50 gal tank (assuming 2.075" insulation)</t>
  </si>
  <si>
    <t>Tenv =</t>
  </si>
  <si>
    <t>r =</t>
  </si>
  <si>
    <t>ft (interior)</t>
  </si>
  <si>
    <t>ft2 (full tank interior)</t>
  </si>
  <si>
    <t>den =</t>
  </si>
  <si>
    <t>lb/gal @</t>
  </si>
  <si>
    <t>ft2 (sides interior)</t>
  </si>
  <si>
    <t>m =</t>
  </si>
  <si>
    <t>lb</t>
  </si>
  <si>
    <t>ft2 (top and bottom interior)</t>
  </si>
  <si>
    <t>Cp =</t>
  </si>
  <si>
    <t>Btu/lb-F</t>
  </si>
  <si>
    <t>EF =</t>
  </si>
  <si>
    <t>RE =</t>
  </si>
  <si>
    <t>UAtank calculations:</t>
  </si>
  <si>
    <t>R_Standard</t>
  </si>
  <si>
    <t>Qin =</t>
  </si>
  <si>
    <t>Btu/day</t>
  </si>
  <si>
    <t>EF</t>
  </si>
  <si>
    <t>Qload =</t>
  </si>
  <si>
    <r>
      <t>Btu/day (= mCp</t>
    </r>
    <r>
      <rPr>
        <sz val="11"/>
        <color theme="1"/>
        <rFont val="Calibri"/>
        <family val="2"/>
      </rPr>
      <t>∆T)</t>
    </r>
  </si>
  <si>
    <t xml:space="preserve">UAelec = </t>
  </si>
  <si>
    <t>((1/EF)-1.031) / 0.0349</t>
  </si>
  <si>
    <t>egUSA</t>
  </si>
  <si>
    <t>Pon =</t>
  </si>
  <si>
    <t>kW</t>
  </si>
  <si>
    <t>kBtu/h</t>
  </si>
  <si>
    <r>
      <t>mCp</t>
    </r>
    <r>
      <rPr>
        <sz val="11"/>
        <color theme="1"/>
        <rFont val="Calibri"/>
        <family val="2"/>
      </rPr>
      <t>∆T*(1/EF - 1)/1620</t>
    </r>
  </si>
  <si>
    <t>Burch</t>
  </si>
  <si>
    <t>UAtank =</t>
  </si>
  <si>
    <t>Rtank_out =</t>
  </si>
  <si>
    <t xml:space="preserve">UAgas = </t>
  </si>
  <si>
    <t>((1/EF)-1.30) / 0.0372</t>
  </si>
  <si>
    <t>Rtank_in =</t>
  </si>
  <si>
    <r>
      <t>(0.78/EF - 1)/(1620/(mCp</t>
    </r>
    <r>
      <rPr>
        <sz val="11"/>
        <color theme="1"/>
        <rFont val="Calibri"/>
        <family val="2"/>
      </rPr>
      <t>∆T) - 67.5/(40000*EF))</t>
    </r>
  </si>
  <si>
    <t>simpleEq</t>
  </si>
  <si>
    <t>Burch paper:</t>
  </si>
  <si>
    <t>UAtank</t>
  </si>
  <si>
    <t>UAelec = Qload*(1/EF-1)/((Ttank-Tenv)*24)</t>
  </si>
  <si>
    <t>Pon</t>
  </si>
  <si>
    <t>UAgas = ((RE/EF)-1] / ((Ttank-Tenv)*(24/Qload - 1/(Pon*EF)))</t>
  </si>
  <si>
    <t>Simplified Equations:</t>
  </si>
  <si>
    <t>UAelec =</t>
  </si>
  <si>
    <t>UAgas =</t>
  </si>
  <si>
    <t>R-std</t>
  </si>
  <si>
    <t>PipeL %</t>
  </si>
  <si>
    <t>mCp∆T</t>
  </si>
  <si>
    <t>MBtu =</t>
  </si>
  <si>
    <t>Reference Case:</t>
  </si>
  <si>
    <t>User Case:</t>
  </si>
  <si>
    <t>Proposed Case:</t>
  </si>
  <si>
    <t>(New GPD, Ttank)</t>
  </si>
  <si>
    <t>(Old GPD, Ttank)</t>
  </si>
  <si>
    <t>UA_Wrap</t>
  </si>
  <si>
    <t>Recovery =</t>
  </si>
  <si>
    <t>Heat_Trap =</t>
  </si>
  <si>
    <t>UA_Tank</t>
  </si>
  <si>
    <t xml:space="preserve"> E_Stdby</t>
  </si>
  <si>
    <t>lb_gal=</t>
  </si>
  <si>
    <t>E_Stdby=</t>
  </si>
  <si>
    <t>Tamb=</t>
  </si>
  <si>
    <t>H_trap =</t>
  </si>
  <si>
    <t>Mia</t>
  </si>
  <si>
    <t>Orl</t>
  </si>
  <si>
    <t>Tamb</t>
  </si>
  <si>
    <t>Use</t>
  </si>
  <si>
    <t>NE_Stdby=</t>
  </si>
  <si>
    <t>eRE=</t>
  </si>
  <si>
    <t>gRE =</t>
  </si>
  <si>
    <t>HERSref</t>
  </si>
  <si>
    <t>Flcode</t>
  </si>
  <si>
    <t>Elec WH</t>
  </si>
  <si>
    <t>Gas WH</t>
  </si>
  <si>
    <t>Burch Equations 7 &amp; 8</t>
  </si>
  <si>
    <t>revised</t>
  </si>
  <si>
    <t>revised:  ((0.78/EF)-1)/0.0362</t>
  </si>
  <si>
    <t>revised: (1/EF-1)*25.367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</si>
</sst>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164" formatCode="0.0"/>
    <numFmt numFmtId="165" formatCode="0.0000"/>
    <numFmt numFmtId="166" formatCode="0.0%"/>
    <numFmt numFmtId="167" formatCode="0.000"/>
    <numFmt numFmtId="168" formatCode="#,##0.0"/>
    <numFmt numFmtId="169" formatCode="#,##0.0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ourier New"/>
      <family val="3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b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rgb="FF009900"/>
      <name val="Calibri"/>
      <family val="2"/>
    </font>
    <font>
      <b/>
      <sz val="11"/>
      <color rgb="FF00990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3" fillId="0" borderId="0">
      <alignment vertical="top"/>
    </xf>
    <xf numFmtId="3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4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/>
    <xf numFmtId="0" fontId="30" fillId="0" borderId="0"/>
  </cellStyleXfs>
  <cellXfs count="345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left" indent="1"/>
    </xf>
    <xf numFmtId="0" fontId="0" fillId="3" borderId="0" xfId="0" applyFill="1"/>
    <xf numFmtId="2" fontId="0" fillId="3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2" fontId="2" fillId="0" borderId="0" xfId="0" applyNumberFormat="1" applyFont="1"/>
    <xf numFmtId="166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7" fontId="0" fillId="0" borderId="0" xfId="0" applyNumberFormat="1"/>
    <xf numFmtId="167" fontId="2" fillId="0" borderId="0" xfId="0" applyNumberFormat="1" applyFont="1"/>
    <xf numFmtId="0" fontId="2" fillId="0" borderId="0" xfId="0" applyFont="1" applyAlignment="1">
      <alignment horizontal="right" indent="1"/>
    </xf>
    <xf numFmtId="0" fontId="0" fillId="0" borderId="15" xfId="0" applyBorder="1" applyAlignment="1">
      <alignment horizontal="right"/>
    </xf>
    <xf numFmtId="2" fontId="0" fillId="0" borderId="15" xfId="0" applyNumberFormat="1" applyBorder="1"/>
    <xf numFmtId="164" fontId="0" fillId="0" borderId="0" xfId="0" applyNumberFormat="1"/>
    <xf numFmtId="164" fontId="0" fillId="0" borderId="15" xfId="0" applyNumberFormat="1" applyBorder="1"/>
    <xf numFmtId="164" fontId="0" fillId="0" borderId="0" xfId="0" applyNumberFormat="1" applyFill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1" fontId="0" fillId="0" borderId="0" xfId="0" applyNumberFormat="1"/>
    <xf numFmtId="0" fontId="0" fillId="0" borderId="15" xfId="0" applyFill="1" applyBorder="1" applyAlignment="1">
      <alignment horizontal="right"/>
    </xf>
    <xf numFmtId="0" fontId="0" fillId="0" borderId="15" xfId="0" applyBorder="1"/>
    <xf numFmtId="1" fontId="0" fillId="0" borderId="15" xfId="0" applyNumberFormat="1" applyBorder="1"/>
    <xf numFmtId="2" fontId="0" fillId="0" borderId="0" xfId="0" applyNumberFormat="1" applyAlignment="1">
      <alignment horizontal="left" indent="1"/>
    </xf>
    <xf numFmtId="164" fontId="3" fillId="4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6" fontId="0" fillId="0" borderId="0" xfId="0" applyNumberForma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left" indent="2"/>
    </xf>
    <xf numFmtId="165" fontId="2" fillId="0" borderId="16" xfId="0" applyNumberFormat="1" applyFont="1" applyBorder="1"/>
    <xf numFmtId="0" fontId="2" fillId="0" borderId="16" xfId="0" applyFont="1" applyBorder="1"/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164" fontId="0" fillId="3" borderId="0" xfId="0" applyNumberFormat="1" applyFill="1"/>
    <xf numFmtId="166" fontId="0" fillId="3" borderId="0" xfId="0" applyNumberFormat="1" applyFill="1"/>
    <xf numFmtId="2" fontId="0" fillId="0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166" fontId="0" fillId="0" borderId="0" xfId="0" applyNumberFormat="1" applyFont="1" applyFill="1" applyBorder="1" applyAlignment="1"/>
    <xf numFmtId="166" fontId="0" fillId="3" borderId="0" xfId="0" applyNumberFormat="1" applyFont="1" applyFill="1" applyBorder="1" applyAlignment="1"/>
    <xf numFmtId="164" fontId="13" fillId="0" borderId="0" xfId="0" applyNumberFormat="1" applyFont="1"/>
    <xf numFmtId="2" fontId="0" fillId="6" borderId="0" xfId="0" applyNumberFormat="1" applyFill="1"/>
    <xf numFmtId="164" fontId="0" fillId="6" borderId="0" xfId="0" applyNumberFormat="1" applyFill="1"/>
    <xf numFmtId="0" fontId="1" fillId="6" borderId="0" xfId="0" applyFont="1" applyFill="1" applyAlignment="1">
      <alignment horizontal="right"/>
    </xf>
    <xf numFmtId="164" fontId="2" fillId="0" borderId="0" xfId="0" applyNumberFormat="1" applyFont="1"/>
    <xf numFmtId="164" fontId="0" fillId="3" borderId="0" xfId="0" applyNumberFormat="1" applyFont="1" applyFill="1" applyBorder="1" applyAlignment="1"/>
    <xf numFmtId="0" fontId="1" fillId="6" borderId="0" xfId="0" applyFont="1" applyFill="1" applyBorder="1" applyAlignment="1">
      <alignment horizontal="right"/>
    </xf>
    <xf numFmtId="164" fontId="0" fillId="6" borderId="0" xfId="0" applyNumberFormat="1" applyFont="1" applyFill="1" applyBorder="1" applyAlignment="1"/>
    <xf numFmtId="0" fontId="1" fillId="6" borderId="15" xfId="0" applyFont="1" applyFill="1" applyBorder="1" applyAlignment="1">
      <alignment horizontal="centerContinuous"/>
    </xf>
    <xf numFmtId="0" fontId="1" fillId="5" borderId="0" xfId="0" applyFont="1" applyFill="1" applyAlignment="1">
      <alignment horizontal="right"/>
    </xf>
    <xf numFmtId="167" fontId="0" fillId="5" borderId="0" xfId="0" applyNumberFormat="1" applyFill="1"/>
    <xf numFmtId="167" fontId="0" fillId="3" borderId="0" xfId="0" applyNumberFormat="1" applyFill="1"/>
    <xf numFmtId="0" fontId="0" fillId="0" borderId="0" xfId="0" applyAlignment="1">
      <alignment horizontal="left" indent="3"/>
    </xf>
    <xf numFmtId="167" fontId="2" fillId="0" borderId="0" xfId="0" applyNumberFormat="1" applyFont="1" applyAlignment="1">
      <alignment horizontal="right"/>
    </xf>
    <xf numFmtId="0" fontId="5" fillId="0" borderId="0" xfId="0" applyFont="1"/>
    <xf numFmtId="1" fontId="2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15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14" fillId="0" borderId="0" xfId="0" applyFont="1"/>
    <xf numFmtId="0" fontId="8" fillId="0" borderId="3" xfId="0" applyFont="1" applyBorder="1" applyAlignment="1">
      <alignment vertical="center"/>
    </xf>
    <xf numFmtId="167" fontId="8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9" fontId="2" fillId="0" borderId="15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horizontal="center"/>
    </xf>
    <xf numFmtId="164" fontId="12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right" vertical="center" wrapText="1"/>
    </xf>
    <xf numFmtId="0" fontId="0" fillId="0" borderId="0" xfId="0" applyFill="1" applyBorder="1" applyAlignment="1">
      <alignment horizontal="left"/>
    </xf>
    <xf numFmtId="165" fontId="0" fillId="0" borderId="0" xfId="0" applyNumberFormat="1"/>
    <xf numFmtId="165" fontId="0" fillId="0" borderId="15" xfId="0" applyNumberFormat="1" applyBorder="1"/>
    <xf numFmtId="0" fontId="0" fillId="6" borderId="15" xfId="0" applyFill="1" applyBorder="1" applyAlignment="1">
      <alignment horizontal="centerContinuous"/>
    </xf>
    <xf numFmtId="2" fontId="0" fillId="3" borderId="3" xfId="0" applyNumberFormat="1" applyFont="1" applyFill="1" applyBorder="1" applyAlignment="1"/>
    <xf numFmtId="0" fontId="2" fillId="0" borderId="15" xfId="0" applyFont="1" applyBorder="1"/>
    <xf numFmtId="0" fontId="2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0" fontId="2" fillId="0" borderId="0" xfId="0" applyNumberFormat="1" applyFont="1"/>
    <xf numFmtId="3" fontId="0" fillId="0" borderId="0" xfId="0" applyNumberFormat="1"/>
    <xf numFmtId="3" fontId="0" fillId="0" borderId="7" xfId="0" applyNumberFormat="1" applyBorder="1"/>
    <xf numFmtId="168" fontId="0" fillId="0" borderId="0" xfId="0" applyNumberFormat="1" applyFill="1" applyBorder="1"/>
    <xf numFmtId="2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Border="1"/>
    <xf numFmtId="2" fontId="0" fillId="0" borderId="15" xfId="0" applyNumberFormat="1" applyFont="1" applyBorder="1"/>
    <xf numFmtId="166" fontId="2" fillId="0" borderId="0" xfId="0" applyNumberFormat="1" applyFont="1" applyFill="1" applyBorder="1" applyAlignment="1" applyProtection="1">
      <alignment horizontal="right"/>
    </xf>
    <xf numFmtId="0" fontId="25" fillId="0" borderId="0" xfId="0" applyFont="1" applyAlignment="1">
      <alignment horizontal="right"/>
    </xf>
    <xf numFmtId="2" fontId="25" fillId="0" borderId="0" xfId="0" applyNumberFormat="1" applyFont="1" applyAlignment="1">
      <alignment horizontal="left"/>
    </xf>
    <xf numFmtId="164" fontId="25" fillId="0" borderId="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>
      <alignment horizontal="left"/>
    </xf>
    <xf numFmtId="166" fontId="25" fillId="0" borderId="0" xfId="0" applyNumberFormat="1" applyFont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0" fontId="7" fillId="0" borderId="0" xfId="0" applyFont="1" applyAlignment="1">
      <alignment horizontal="left" vertical="center"/>
    </xf>
    <xf numFmtId="0" fontId="2" fillId="0" borderId="0" xfId="0" quotePrefix="1" applyFont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right" indent="1"/>
    </xf>
    <xf numFmtId="0" fontId="2" fillId="0" borderId="0" xfId="0" applyFont="1" applyProtection="1"/>
    <xf numFmtId="0" fontId="2" fillId="0" borderId="0" xfId="0" applyFont="1" applyFill="1" applyBorder="1" applyAlignment="1" applyProtection="1">
      <alignment horizontal="right"/>
    </xf>
    <xf numFmtId="2" fontId="2" fillId="0" borderId="0" xfId="0" applyNumberFormat="1" applyFont="1" applyProtection="1"/>
    <xf numFmtId="167" fontId="2" fillId="0" borderId="0" xfId="0" applyNumberFormat="1" applyFont="1" applyProtection="1"/>
    <xf numFmtId="167" fontId="2" fillId="0" borderId="0" xfId="0" applyNumberFormat="1" applyFont="1" applyAlignment="1" applyProtection="1"/>
    <xf numFmtId="2" fontId="2" fillId="0" borderId="0" xfId="0" applyNumberFormat="1" applyFont="1" applyFill="1" applyProtection="1"/>
    <xf numFmtId="0" fontId="2" fillId="0" borderId="0" xfId="0" applyFont="1" applyFill="1" applyBorder="1" applyAlignment="1" applyProtection="1"/>
    <xf numFmtId="1" fontId="2" fillId="0" borderId="0" xfId="0" applyNumberFormat="1" applyFont="1" applyFill="1" applyAlignment="1" applyProtection="1">
      <alignment horizontal="right"/>
    </xf>
    <xf numFmtId="2" fontId="2" fillId="0" borderId="0" xfId="0" applyNumberFormat="1" applyFont="1" applyFill="1" applyAlignment="1" applyProtection="1">
      <alignment horizontal="right"/>
    </xf>
    <xf numFmtId="0" fontId="0" fillId="0" borderId="0" xfId="0" quotePrefix="1" applyFont="1" applyAlignment="1">
      <alignment horizontal="left" indent="1"/>
    </xf>
    <xf numFmtId="0" fontId="0" fillId="0" borderId="0" xfId="0" quotePrefix="1"/>
    <xf numFmtId="0" fontId="14" fillId="0" borderId="0" xfId="0" applyFont="1" applyAlignment="1">
      <alignment horizontal="right" indent="1"/>
    </xf>
    <xf numFmtId="0" fontId="6" fillId="0" borderId="0" xfId="0" applyFont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2" fontId="8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7" fontId="25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2" fontId="2" fillId="0" borderId="0" xfId="0" applyNumberFormat="1" applyFont="1" applyAlignment="1">
      <alignment horizontal="right"/>
    </xf>
    <xf numFmtId="1" fontId="2" fillId="0" borderId="15" xfId="0" applyNumberFormat="1" applyFont="1" applyBorder="1"/>
    <xf numFmtId="2" fontId="2" fillId="0" borderId="15" xfId="0" applyNumberFormat="1" applyFont="1" applyBorder="1" applyAlignment="1">
      <alignment horizontal="right"/>
    </xf>
    <xf numFmtId="2" fontId="2" fillId="7" borderId="0" xfId="0" applyNumberFormat="1" applyFont="1" applyFill="1"/>
    <xf numFmtId="2" fontId="2" fillId="7" borderId="15" xfId="0" applyNumberFormat="1" applyFont="1" applyFill="1" applyBorder="1"/>
    <xf numFmtId="2" fontId="2" fillId="0" borderId="15" xfId="0" applyNumberFormat="1" applyFont="1" applyFill="1" applyBorder="1"/>
    <xf numFmtId="2" fontId="2" fillId="8" borderId="0" xfId="0" applyNumberFormat="1" applyFont="1" applyFill="1"/>
    <xf numFmtId="2" fontId="2" fillId="8" borderId="15" xfId="0" applyNumberFormat="1" applyFont="1" applyFill="1" applyBorder="1"/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/>
    <xf numFmtId="165" fontId="2" fillId="0" borderId="15" xfId="0" applyNumberFormat="1" applyFont="1" applyFill="1" applyBorder="1" applyAlignment="1">
      <alignment horizontal="right"/>
    </xf>
    <xf numFmtId="165" fontId="2" fillId="0" borderId="15" xfId="0" applyNumberFormat="1" applyFont="1" applyFill="1" applyBorder="1"/>
    <xf numFmtId="1" fontId="3" fillId="0" borderId="0" xfId="0" applyNumberFormat="1" applyFont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Fill="1"/>
    <xf numFmtId="2" fontId="3" fillId="0" borderId="0" xfId="0" applyNumberFormat="1" applyFont="1" applyFill="1"/>
    <xf numFmtId="2" fontId="3" fillId="7" borderId="0" xfId="0" applyNumberFormat="1" applyFont="1" applyFill="1"/>
    <xf numFmtId="2" fontId="3" fillId="8" borderId="0" xfId="0" applyNumberFormat="1" applyFont="1" applyFill="1"/>
    <xf numFmtId="0" fontId="3" fillId="0" borderId="15" xfId="0" applyFont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7" borderId="15" xfId="0" applyFont="1" applyFill="1" applyBorder="1" applyAlignment="1">
      <alignment horizontal="right"/>
    </xf>
    <xf numFmtId="0" fontId="3" fillId="8" borderId="15" xfId="0" applyFont="1" applyFill="1" applyBorder="1" applyAlignment="1">
      <alignment horizontal="right"/>
    </xf>
    <xf numFmtId="2" fontId="2" fillId="7" borderId="0" xfId="0" applyNumberFormat="1" applyFont="1" applyFill="1" applyBorder="1"/>
    <xf numFmtId="2" fontId="0" fillId="8" borderId="0" xfId="0" applyNumberFormat="1" applyFill="1"/>
    <xf numFmtId="0" fontId="26" fillId="7" borderId="15" xfId="0" applyFont="1" applyFill="1" applyBorder="1" applyAlignment="1">
      <alignment horizontal="right"/>
    </xf>
    <xf numFmtId="0" fontId="1" fillId="8" borderId="15" xfId="0" applyFont="1" applyFill="1" applyBorder="1" applyAlignment="1">
      <alignment horizontal="right"/>
    </xf>
    <xf numFmtId="2" fontId="0" fillId="8" borderId="15" xfId="0" applyNumberFormat="1" applyFill="1" applyBorder="1"/>
    <xf numFmtId="0" fontId="27" fillId="0" borderId="15" xfId="0" applyFont="1" applyBorder="1" applyAlignment="1">
      <alignment horizontal="right"/>
    </xf>
    <xf numFmtId="0" fontId="0" fillId="4" borderId="15" xfId="0" applyFill="1" applyBorder="1" applyAlignment="1">
      <alignment horizontal="right"/>
    </xf>
    <xf numFmtId="2" fontId="0" fillId="4" borderId="0" xfId="0" applyNumberFormat="1" applyFill="1"/>
    <xf numFmtId="2" fontId="3" fillId="4" borderId="0" xfId="0" applyNumberFormat="1" applyFont="1" applyFill="1"/>
    <xf numFmtId="2" fontId="0" fillId="4" borderId="15" xfId="0" applyNumberFormat="1" applyFill="1" applyBorder="1"/>
    <xf numFmtId="0" fontId="2" fillId="4" borderId="3" xfId="0" applyFont="1" applyFill="1" applyBorder="1" applyAlignment="1">
      <alignment horizontal="center"/>
    </xf>
    <xf numFmtId="167" fontId="22" fillId="0" borderId="0" xfId="0" applyNumberFormat="1" applyFont="1" applyAlignment="1">
      <alignment horizontal="right"/>
    </xf>
    <xf numFmtId="2" fontId="0" fillId="0" borderId="0" xfId="0" applyNumberFormat="1" applyFill="1" applyAlignment="1">
      <alignment horizontal="center"/>
    </xf>
    <xf numFmtId="0" fontId="2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  <xf numFmtId="2" fontId="2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7" borderId="15" xfId="0" applyFill="1" applyBorder="1" applyAlignment="1">
      <alignment horizontal="right"/>
    </xf>
    <xf numFmtId="2" fontId="0" fillId="7" borderId="0" xfId="0" applyNumberFormat="1" applyFill="1"/>
    <xf numFmtId="2" fontId="0" fillId="7" borderId="15" xfId="0" applyNumberFormat="1" applyFill="1" applyBorder="1"/>
    <xf numFmtId="0" fontId="0" fillId="8" borderId="15" xfId="0" applyFill="1" applyBorder="1" applyAlignment="1">
      <alignment horizontal="right"/>
    </xf>
    <xf numFmtId="2" fontId="0" fillId="0" borderId="0" xfId="0" applyNumberFormat="1" applyFill="1" applyBorder="1"/>
    <xf numFmtId="2" fontId="25" fillId="0" borderId="0" xfId="0" applyNumberFormat="1" applyFont="1" applyBorder="1" applyAlignment="1">
      <alignment horizontal="left"/>
    </xf>
    <xf numFmtId="169" fontId="3" fillId="0" borderId="0" xfId="0" applyNumberFormat="1" applyFont="1" applyFill="1" applyBorder="1" applyAlignment="1"/>
    <xf numFmtId="0" fontId="27" fillId="0" borderId="0" xfId="0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27" fillId="0" borderId="0" xfId="0" applyNumberFormat="1" applyFont="1" applyAlignment="1">
      <alignment vertical="center"/>
    </xf>
    <xf numFmtId="2" fontId="27" fillId="0" borderId="15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right"/>
    </xf>
    <xf numFmtId="2" fontId="2" fillId="9" borderId="22" xfId="0" applyNumberFormat="1" applyFont="1" applyFill="1" applyBorder="1" applyAlignment="1">
      <alignment horizontal="right"/>
    </xf>
    <xf numFmtId="2" fontId="2" fillId="9" borderId="23" xfId="0" applyNumberFormat="1" applyFont="1" applyFill="1" applyBorder="1" applyAlignment="1">
      <alignment horizontal="right"/>
    </xf>
    <xf numFmtId="2" fontId="3" fillId="9" borderId="23" xfId="0" applyNumberFormat="1" applyFont="1" applyFill="1" applyBorder="1"/>
    <xf numFmtId="3" fontId="0" fillId="0" borderId="0" xfId="0" applyNumberFormat="1" applyFill="1"/>
    <xf numFmtId="3" fontId="0" fillId="0" borderId="15" xfId="0" applyNumberFormat="1" applyBorder="1"/>
    <xf numFmtId="2" fontId="3" fillId="8" borderId="3" xfId="0" applyNumberFormat="1" applyFont="1" applyFill="1" applyBorder="1" applyAlignment="1" applyProtection="1">
      <alignment horizontal="center"/>
      <protection locked="0"/>
    </xf>
    <xf numFmtId="0" fontId="13" fillId="8" borderId="3" xfId="0" applyFont="1" applyFill="1" applyBorder="1" applyAlignment="1" applyProtection="1">
      <alignment horizontal="center"/>
      <protection locked="0"/>
    </xf>
    <xf numFmtId="0" fontId="3" fillId="8" borderId="3" xfId="0" applyFont="1" applyFill="1" applyBorder="1" applyAlignment="1" applyProtection="1">
      <alignment horizontal="center"/>
      <protection locked="0"/>
    </xf>
    <xf numFmtId="166" fontId="3" fillId="8" borderId="3" xfId="0" applyNumberFormat="1" applyFont="1" applyFill="1" applyBorder="1" applyAlignment="1" applyProtection="1">
      <alignment horizontal="center"/>
      <protection locked="0"/>
    </xf>
    <xf numFmtId="165" fontId="0" fillId="0" borderId="7" xfId="0" applyNumberFormat="1" applyBorder="1"/>
    <xf numFmtId="164" fontId="2" fillId="4" borderId="0" xfId="0" applyNumberFormat="1" applyFont="1" applyFill="1" applyBorder="1"/>
    <xf numFmtId="164" fontId="2" fillId="4" borderId="11" xfId="0" applyNumberFormat="1" applyFont="1" applyFill="1" applyBorder="1"/>
    <xf numFmtId="1" fontId="0" fillId="0" borderId="0" xfId="0" applyNumberFormat="1" applyBorder="1"/>
    <xf numFmtId="164" fontId="0" fillId="7" borderId="0" xfId="0" applyNumberFormat="1" applyFill="1"/>
    <xf numFmtId="164" fontId="0" fillId="7" borderId="7" xfId="0" applyNumberFormat="1" applyFill="1" applyBorder="1"/>
    <xf numFmtId="164" fontId="0" fillId="8" borderId="0" xfId="0" applyNumberFormat="1" applyFill="1"/>
    <xf numFmtId="164" fontId="0" fillId="8" borderId="7" xfId="0" applyNumberFormat="1" applyFill="1" applyBorder="1"/>
    <xf numFmtId="164" fontId="0" fillId="7" borderId="0" xfId="0" applyNumberFormat="1" applyFill="1" applyBorder="1"/>
    <xf numFmtId="164" fontId="3" fillId="4" borderId="12" xfId="0" applyNumberFormat="1" applyFont="1" applyFill="1" applyBorder="1" applyAlignment="1"/>
    <xf numFmtId="164" fontId="3" fillId="4" borderId="13" xfId="0" applyNumberFormat="1" applyFont="1" applyFill="1" applyBorder="1" applyAlignment="1"/>
    <xf numFmtId="164" fontId="3" fillId="4" borderId="19" xfId="0" applyNumberFormat="1" applyFont="1" applyFill="1" applyBorder="1" applyAlignment="1"/>
    <xf numFmtId="164" fontId="3" fillId="4" borderId="24" xfId="0" applyNumberFormat="1" applyFont="1" applyFill="1" applyBorder="1" applyAlignment="1"/>
    <xf numFmtId="164" fontId="2" fillId="4" borderId="21" xfId="0" applyNumberFormat="1" applyFont="1" applyFill="1" applyBorder="1"/>
    <xf numFmtId="164" fontId="2" fillId="4" borderId="8" xfId="0" applyNumberFormat="1" applyFont="1" applyFill="1" applyBorder="1" applyAlignment="1"/>
    <xf numFmtId="164" fontId="2" fillId="4" borderId="11" xfId="0" applyNumberFormat="1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2" fontId="0" fillId="0" borderId="30" xfId="0" applyNumberFormat="1" applyBorder="1"/>
    <xf numFmtId="2" fontId="0" fillId="0" borderId="28" xfId="0" applyNumberFormat="1" applyBorder="1"/>
    <xf numFmtId="2" fontId="0" fillId="0" borderId="29" xfId="0" applyNumberFormat="1" applyFill="1" applyBorder="1"/>
    <xf numFmtId="0" fontId="0" fillId="0" borderId="25" xfId="0" applyBorder="1"/>
    <xf numFmtId="0" fontId="0" fillId="0" borderId="26" xfId="0" applyBorder="1"/>
    <xf numFmtId="2" fontId="0" fillId="0" borderId="27" xfId="0" applyNumberFormat="1" applyBorder="1"/>
    <xf numFmtId="10" fontId="0" fillId="0" borderId="0" xfId="0" applyNumberFormat="1"/>
    <xf numFmtId="164" fontId="3" fillId="4" borderId="2" xfId="0" applyNumberFormat="1" applyFont="1" applyFill="1" applyBorder="1" applyAlignment="1"/>
    <xf numFmtId="164" fontId="3" fillId="4" borderId="14" xfId="0" applyNumberFormat="1" applyFont="1" applyFill="1" applyBorder="1" applyAlignment="1"/>
    <xf numFmtId="0" fontId="3" fillId="10" borderId="33" xfId="0" applyFont="1" applyFill="1" applyBorder="1" applyAlignment="1">
      <alignment horizontal="right" vertical="center"/>
    </xf>
    <xf numFmtId="166" fontId="3" fillId="10" borderId="34" xfId="0" applyNumberFormat="1" applyFont="1" applyFill="1" applyBorder="1" applyAlignment="1">
      <alignment horizontal="right"/>
    </xf>
    <xf numFmtId="0" fontId="3" fillId="10" borderId="35" xfId="0" applyFont="1" applyFill="1" applyBorder="1" applyAlignment="1">
      <alignment horizontal="right" vertical="center"/>
    </xf>
    <xf numFmtId="166" fontId="3" fillId="10" borderId="5" xfId="0" applyNumberFormat="1" applyFont="1" applyFill="1" applyBorder="1"/>
    <xf numFmtId="0" fontId="3" fillId="10" borderId="37" xfId="0" applyFont="1" applyFill="1" applyBorder="1" applyAlignment="1">
      <alignment horizontal="right"/>
    </xf>
    <xf numFmtId="2" fontId="3" fillId="10" borderId="38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2" fontId="25" fillId="0" borderId="0" xfId="0" applyNumberFormat="1" applyFont="1" applyFill="1" applyBorder="1" applyAlignment="1">
      <alignment horizontal="left"/>
    </xf>
    <xf numFmtId="166" fontId="25" fillId="0" borderId="0" xfId="0" applyNumberFormat="1" applyFont="1" applyFill="1" applyAlignment="1">
      <alignment horizontal="left"/>
    </xf>
    <xf numFmtId="2" fontId="18" fillId="0" borderId="17" xfId="0" applyNumberFormat="1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2" fontId="29" fillId="0" borderId="33" xfId="0" applyNumberFormat="1" applyFont="1" applyBorder="1" applyAlignment="1">
      <alignment horizontal="center"/>
    </xf>
    <xf numFmtId="166" fontId="18" fillId="0" borderId="17" xfId="0" applyNumberFormat="1" applyFont="1" applyBorder="1" applyAlignment="1">
      <alignment horizontal="center"/>
    </xf>
    <xf numFmtId="0" fontId="2" fillId="0" borderId="17" xfId="0" applyFont="1" applyBorder="1"/>
    <xf numFmtId="0" fontId="2" fillId="4" borderId="0" xfId="0" applyFont="1" applyFill="1" applyBorder="1" applyAlignment="1">
      <alignment horizontal="right"/>
    </xf>
    <xf numFmtId="0" fontId="3" fillId="4" borderId="34" xfId="0" applyFont="1" applyFill="1" applyBorder="1" applyAlignment="1">
      <alignment horizontal="right"/>
    </xf>
    <xf numFmtId="2" fontId="2" fillId="4" borderId="0" xfId="0" applyNumberFormat="1" applyFont="1" applyFill="1" applyBorder="1" applyAlignment="1">
      <alignment horizontal="right"/>
    </xf>
    <xf numFmtId="0" fontId="2" fillId="4" borderId="40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right"/>
    </xf>
    <xf numFmtId="0" fontId="3" fillId="4" borderId="41" xfId="0" applyFont="1" applyFill="1" applyBorder="1" applyAlignment="1">
      <alignment horizontal="right"/>
    </xf>
    <xf numFmtId="0" fontId="29" fillId="0" borderId="18" xfId="0" applyFont="1" applyBorder="1" applyAlignment="1">
      <alignment horizontal="center"/>
    </xf>
    <xf numFmtId="167" fontId="29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 indent="1"/>
    </xf>
    <xf numFmtId="166" fontId="2" fillId="0" borderId="0" xfId="0" applyNumberFormat="1" applyFont="1" applyFill="1" applyBorder="1" applyAlignment="1" applyProtection="1">
      <alignment horizontal="left" indent="1"/>
    </xf>
    <xf numFmtId="2" fontId="2" fillId="0" borderId="0" xfId="0" applyNumberFormat="1" applyFont="1" applyFill="1" applyBorder="1" applyAlignment="1" applyProtection="1">
      <alignment horizontal="left" indent="1"/>
    </xf>
    <xf numFmtId="0" fontId="0" fillId="0" borderId="0" xfId="0" applyFont="1" applyAlignment="1">
      <alignment horizontal="right"/>
    </xf>
    <xf numFmtId="0" fontId="3" fillId="4" borderId="32" xfId="0" applyFont="1" applyFill="1" applyBorder="1" applyAlignment="1">
      <alignment horizontal="right"/>
    </xf>
    <xf numFmtId="2" fontId="0" fillId="7" borderId="0" xfId="0" applyNumberFormat="1" applyFill="1" applyBorder="1"/>
    <xf numFmtId="2" fontId="0" fillId="8" borderId="0" xfId="0" applyNumberFormat="1" applyFill="1" applyBorder="1"/>
    <xf numFmtId="2" fontId="0" fillId="7" borderId="7" xfId="0" applyNumberFormat="1" applyFill="1" applyBorder="1"/>
    <xf numFmtId="2" fontId="0" fillId="8" borderId="7" xfId="0" applyNumberFormat="1" applyFill="1" applyBorder="1"/>
    <xf numFmtId="0" fontId="2" fillId="0" borderId="0" xfId="0" applyFont="1" applyAlignment="1">
      <alignment horizontal="left" vertical="center" indent="1"/>
    </xf>
    <xf numFmtId="0" fontId="3" fillId="10" borderId="24" xfId="0" applyFont="1" applyFill="1" applyBorder="1" applyAlignment="1">
      <alignment horizontal="right"/>
    </xf>
    <xf numFmtId="0" fontId="3" fillId="10" borderId="36" xfId="0" applyFont="1" applyFill="1" applyBorder="1" applyAlignment="1">
      <alignment horizontal="right"/>
    </xf>
    <xf numFmtId="0" fontId="3" fillId="10" borderId="39" xfId="0" applyFont="1" applyFill="1" applyBorder="1" applyAlignment="1">
      <alignment horizontal="right"/>
    </xf>
    <xf numFmtId="164" fontId="0" fillId="4" borderId="0" xfId="0" applyNumberFormat="1" applyFill="1"/>
    <xf numFmtId="164" fontId="0" fillId="4" borderId="0" xfId="0" applyNumberFormat="1" applyFill="1" applyBorder="1"/>
    <xf numFmtId="164" fontId="0" fillId="4" borderId="15" xfId="0" applyNumberFormat="1" applyFill="1" applyBorder="1"/>
    <xf numFmtId="167" fontId="30" fillId="0" borderId="0" xfId="7" applyNumberFormat="1"/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9" fontId="14" fillId="0" borderId="0" xfId="0" applyNumberFormat="1" applyFont="1" applyFill="1" applyBorder="1" applyAlignment="1">
      <alignment horizontal="center"/>
    </xf>
    <xf numFmtId="164" fontId="0" fillId="7" borderId="15" xfId="0" applyNumberFormat="1" applyFill="1" applyBorder="1"/>
    <xf numFmtId="164" fontId="0" fillId="8" borderId="15" xfId="0" applyNumberFormat="1" applyFill="1" applyBorder="1"/>
    <xf numFmtId="0" fontId="0" fillId="8" borderId="4" xfId="0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4" borderId="0" xfId="0" applyFill="1" applyAlignment="1">
      <alignment horizontal="left"/>
    </xf>
    <xf numFmtId="167" fontId="0" fillId="8" borderId="3" xfId="0" applyNumberFormat="1" applyFill="1" applyBorder="1"/>
    <xf numFmtId="167" fontId="0" fillId="7" borderId="3" xfId="0" applyNumberFormat="1" applyFill="1" applyBorder="1"/>
    <xf numFmtId="164" fontId="0" fillId="4" borderId="3" xfId="0" applyNumberFormat="1" applyFill="1" applyBorder="1"/>
    <xf numFmtId="167" fontId="0" fillId="0" borderId="3" xfId="0" applyNumberFormat="1" applyBorder="1"/>
    <xf numFmtId="0" fontId="0" fillId="8" borderId="3" xfId="0" applyFill="1" applyBorder="1" applyAlignment="1">
      <alignment horizontal="center"/>
    </xf>
    <xf numFmtId="2" fontId="0" fillId="8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3" xfId="0" applyNumberFormat="1" applyFill="1" applyBorder="1"/>
    <xf numFmtId="2" fontId="0" fillId="8" borderId="3" xfId="0" applyNumberFormat="1" applyFill="1" applyBorder="1"/>
    <xf numFmtId="2" fontId="0" fillId="7" borderId="3" xfId="0" applyNumberFormat="1" applyFill="1" applyBorder="1"/>
    <xf numFmtId="2" fontId="2" fillId="4" borderId="11" xfId="0" applyNumberFormat="1" applyFont="1" applyFill="1" applyBorder="1" applyAlignmen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right"/>
    </xf>
    <xf numFmtId="0" fontId="0" fillId="0" borderId="0" xfId="0" applyNumberFormat="1"/>
    <xf numFmtId="167" fontId="0" fillId="0" borderId="0" xfId="0" applyNumberFormat="1" applyBorder="1"/>
    <xf numFmtId="167" fontId="2" fillId="4" borderId="8" xfId="0" applyNumberFormat="1" applyFont="1" applyFill="1" applyBorder="1" applyAlignment="1"/>
    <xf numFmtId="2" fontId="0" fillId="8" borderId="6" xfId="0" applyNumberFormat="1" applyFill="1" applyBorder="1" applyAlignment="1"/>
    <xf numFmtId="2" fontId="0" fillId="7" borderId="6" xfId="0" applyNumberFormat="1" applyFill="1" applyBorder="1" applyAlignment="1"/>
    <xf numFmtId="2" fontId="0" fillId="4" borderId="6" xfId="0" applyNumberFormat="1" applyFill="1" applyBorder="1" applyAlignment="1"/>
    <xf numFmtId="167" fontId="0" fillId="8" borderId="3" xfId="0" applyNumberForma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1" fillId="8" borderId="6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8">
    <cellStyle name="Comma0" xfId="2"/>
    <cellStyle name="Currency0" xfId="3"/>
    <cellStyle name="Date" xfId="4"/>
    <cellStyle name="Fixed" xfId="5"/>
    <cellStyle name="Normal" xfId="0" builtinId="0"/>
    <cellStyle name="Normal 2" xfId="1"/>
    <cellStyle name="Normal 2 2" xfId="6"/>
    <cellStyle name="Normal 2 3" xfId="7"/>
  </cellStyles>
  <dxfs count="0"/>
  <tableStyles count="0" defaultTableStyle="TableStyleMedium2" defaultPivotStyle="PivotStyleLight16"/>
  <colors>
    <mruColors>
      <color rgb="FFFFFFCC"/>
      <color rgb="FFCCFFCC"/>
      <color rgb="FFCCECFF"/>
      <color rgb="FFFFFF99"/>
      <color rgb="FF0099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Water</a:t>
            </a:r>
            <a:r>
              <a:rPr lang="en-US" sz="1800" baseline="0">
                <a:solidFill>
                  <a:sysClr val="windowText" lastClr="000000"/>
                </a:solidFill>
              </a:rPr>
              <a:t> Use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298263342082240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2725284339459"/>
          <c:y val="0.14261592300962381"/>
          <c:w val="0.82075196850393706"/>
          <c:h val="0.73278506853309999"/>
        </c:manualLayout>
      </c:layout>
      <c:lineChart>
        <c:grouping val="standard"/>
        <c:varyColors val="0"/>
        <c:ser>
          <c:idx val="0"/>
          <c:order val="0"/>
          <c:tx>
            <c:strRef>
              <c:f>'Monthly Calcs'!$U$17</c:f>
              <c:strCache>
                <c:ptCount val="1"/>
                <c:pt idx="0">
                  <c:v>RD Avg (42.8 gpd)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Calcs'!$H$4:$H$15</c:f>
              <c:numCache>
                <c:formatCode>0.00</c:formatCode>
                <c:ptCount val="12"/>
                <c:pt idx="0">
                  <c:v>46.59748746399832</c:v>
                </c:pt>
                <c:pt idx="1">
                  <c:v>46.400465537374551</c:v>
                </c:pt>
                <c:pt idx="2">
                  <c:v>45.430689649693512</c:v>
                </c:pt>
                <c:pt idx="3">
                  <c:v>43.772424718014655</c:v>
                </c:pt>
                <c:pt idx="4">
                  <c:v>41.679567650703113</c:v>
                </c:pt>
                <c:pt idx="5">
                  <c:v>39.683781421586659</c:v>
                </c:pt>
                <c:pt idx="6">
                  <c:v>38.536799293754257</c:v>
                </c:pt>
                <c:pt idx="7">
                  <c:v>38.773436839535897</c:v>
                </c:pt>
                <c:pt idx="8">
                  <c:v>40.277991209727226</c:v>
                </c:pt>
                <c:pt idx="9">
                  <c:v>42.37771188080896</c:v>
                </c:pt>
                <c:pt idx="10">
                  <c:v>44.371993370309205</c:v>
                </c:pt>
                <c:pt idx="11">
                  <c:v>45.826064936997511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'Monthly Calcs'!$U$18</c:f>
              <c:strCache>
                <c:ptCount val="1"/>
                <c:pt idx="0">
                  <c:v>PD Avg (36.8 gpd)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Calcs'!$I$4:$I$15</c:f>
              <c:numCache>
                <c:formatCode>0.00</c:formatCode>
                <c:ptCount val="12"/>
                <c:pt idx="0">
                  <c:v>39.927729655354803</c:v>
                </c:pt>
                <c:pt idx="1">
                  <c:v>39.764938858393272</c:v>
                </c:pt>
                <c:pt idx="2">
                  <c:v>38.963654492054005</c:v>
                </c:pt>
                <c:pt idx="3">
                  <c:v>37.593501055696407</c:v>
                </c:pt>
                <c:pt idx="4">
                  <c:v>35.864262712774284</c:v>
                </c:pt>
                <c:pt idx="5">
                  <c:v>34.215229854501985</c:v>
                </c:pt>
                <c:pt idx="6">
                  <c:v>33.267527545981679</c:v>
                </c:pt>
                <c:pt idx="7">
                  <c:v>33.463051035823376</c:v>
                </c:pt>
                <c:pt idx="8">
                  <c:v>34.706200005039911</c:v>
                </c:pt>
                <c:pt idx="9">
                  <c:v>36.441109450396795</c:v>
                </c:pt>
                <c:pt idx="10">
                  <c:v>38.088899006639004</c:v>
                </c:pt>
                <c:pt idx="11">
                  <c:v>39.290336193030456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'Monthly Calcs'!$AA$4:$AA$15</c:f>
              <c:numCache>
                <c:formatCode>0.00</c:formatCode>
                <c:ptCount val="12"/>
                <c:pt idx="0">
                  <c:v>42.789789714563994</c:v>
                </c:pt>
                <c:pt idx="1">
                  <c:v>42.789789714563994</c:v>
                </c:pt>
                <c:pt idx="2">
                  <c:v>42.789789714563994</c:v>
                </c:pt>
                <c:pt idx="3">
                  <c:v>42.789789714563994</c:v>
                </c:pt>
                <c:pt idx="4">
                  <c:v>42.789789714563994</c:v>
                </c:pt>
                <c:pt idx="5">
                  <c:v>42.789789714563994</c:v>
                </c:pt>
                <c:pt idx="6">
                  <c:v>42.789789714563994</c:v>
                </c:pt>
                <c:pt idx="7">
                  <c:v>42.789789714563994</c:v>
                </c:pt>
                <c:pt idx="8">
                  <c:v>42.789789714563994</c:v>
                </c:pt>
                <c:pt idx="9">
                  <c:v>42.789789714563994</c:v>
                </c:pt>
                <c:pt idx="10">
                  <c:v>42.789789714563994</c:v>
                </c:pt>
                <c:pt idx="11">
                  <c:v>42.789789714563994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'Monthly Calcs'!$AB$4:$AB$15</c:f>
              <c:numCache>
                <c:formatCode>0.00</c:formatCode>
                <c:ptCount val="12"/>
                <c:pt idx="0">
                  <c:v>36.781591751614272</c:v>
                </c:pt>
                <c:pt idx="1">
                  <c:v>36.781591751614272</c:v>
                </c:pt>
                <c:pt idx="2">
                  <c:v>36.781591751614272</c:v>
                </c:pt>
                <c:pt idx="3">
                  <c:v>36.781591751614272</c:v>
                </c:pt>
                <c:pt idx="4">
                  <c:v>36.781591751614272</c:v>
                </c:pt>
                <c:pt idx="5">
                  <c:v>36.781591751614272</c:v>
                </c:pt>
                <c:pt idx="6">
                  <c:v>36.781591751614272</c:v>
                </c:pt>
                <c:pt idx="7">
                  <c:v>36.781591751614272</c:v>
                </c:pt>
                <c:pt idx="8">
                  <c:v>36.781591751614272</c:v>
                </c:pt>
                <c:pt idx="9">
                  <c:v>36.781591751614272</c:v>
                </c:pt>
                <c:pt idx="10">
                  <c:v>36.781591751614272</c:v>
                </c:pt>
                <c:pt idx="11">
                  <c:v>36.781591751614272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44032"/>
        <c:axId val="1554744576"/>
      </c:lineChart>
      <c:catAx>
        <c:axId val="155474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44576"/>
        <c:crosses val="autoZero"/>
        <c:auto val="1"/>
        <c:lblAlgn val="ctr"/>
        <c:lblOffset val="100"/>
        <c:tickMarkSkip val="1"/>
        <c:noMultiLvlLbl val="0"/>
      </c:catAx>
      <c:valAx>
        <c:axId val="15547445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gallons per 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44032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7715244969378825"/>
          <c:y val="0.14172389909594635"/>
          <c:w val="0.33118088363954507"/>
          <c:h val="0.1608807232429279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Tmains</a:t>
            </a:r>
          </a:p>
        </c:rich>
      </c:tx>
      <c:layout>
        <c:manualLayout>
          <c:xMode val="edge"/>
          <c:yMode val="edge"/>
          <c:x val="0.38503455818022747"/>
          <c:y val="0.75462962962962965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Tmains!$B$2</c:f>
              <c:strCache>
                <c:ptCount val="1"/>
                <c:pt idx="0">
                  <c:v>Jax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Tmains!$B$3:$B$14</c:f>
              <c:numCache>
                <c:formatCode>0.00</c:formatCode>
                <c:ptCount val="12"/>
                <c:pt idx="0">
                  <c:v>64.53</c:v>
                </c:pt>
                <c:pt idx="1">
                  <c:v>64.849999999999994</c:v>
                </c:pt>
                <c:pt idx="2">
                  <c:v>67.5</c:v>
                </c:pt>
                <c:pt idx="3">
                  <c:v>71.790000000000006</c:v>
                </c:pt>
                <c:pt idx="4">
                  <c:v>76.599999999999994</c:v>
                </c:pt>
                <c:pt idx="5">
                  <c:v>80.69</c:v>
                </c:pt>
                <c:pt idx="6">
                  <c:v>82.98</c:v>
                </c:pt>
                <c:pt idx="7">
                  <c:v>82.88</c:v>
                </c:pt>
                <c:pt idx="8">
                  <c:v>80.41</c:v>
                </c:pt>
                <c:pt idx="9">
                  <c:v>76.22</c:v>
                </c:pt>
                <c:pt idx="10">
                  <c:v>71.39</c:v>
                </c:pt>
                <c:pt idx="11">
                  <c:v>67.2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Tmains!$C$2</c:f>
              <c:strCache>
                <c:ptCount val="1"/>
                <c:pt idx="0">
                  <c:v>Tally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Tmains!$C$3:$C$14</c:f>
              <c:numCache>
                <c:formatCode>0.00</c:formatCode>
                <c:ptCount val="12"/>
                <c:pt idx="0">
                  <c:v>63.43</c:v>
                </c:pt>
                <c:pt idx="1">
                  <c:v>63.67</c:v>
                </c:pt>
                <c:pt idx="2">
                  <c:v>66.28</c:v>
                </c:pt>
                <c:pt idx="3">
                  <c:v>70.599999999999994</c:v>
                </c:pt>
                <c:pt idx="4">
                  <c:v>75.489999999999995</c:v>
                </c:pt>
                <c:pt idx="5">
                  <c:v>79.67</c:v>
                </c:pt>
                <c:pt idx="6">
                  <c:v>82.07</c:v>
                </c:pt>
                <c:pt idx="7">
                  <c:v>82.05</c:v>
                </c:pt>
                <c:pt idx="8">
                  <c:v>79.62</c:v>
                </c:pt>
                <c:pt idx="9">
                  <c:v>75.41</c:v>
                </c:pt>
                <c:pt idx="10">
                  <c:v>70.52</c:v>
                </c:pt>
                <c:pt idx="11">
                  <c:v>66.23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Tmains!$D$2</c:f>
              <c:strCache>
                <c:ptCount val="1"/>
                <c:pt idx="0">
                  <c:v>Miami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Tmains!$D$3:$D$14</c:f>
              <c:numCache>
                <c:formatCode>0.00</c:formatCode>
                <c:ptCount val="12"/>
                <c:pt idx="0">
                  <c:v>76.48</c:v>
                </c:pt>
                <c:pt idx="1">
                  <c:v>77.08</c:v>
                </c:pt>
                <c:pt idx="2">
                  <c:v>78.98</c:v>
                </c:pt>
                <c:pt idx="3">
                  <c:v>81.7</c:v>
                </c:pt>
                <c:pt idx="4">
                  <c:v>84.52</c:v>
                </c:pt>
                <c:pt idx="5">
                  <c:v>86.71</c:v>
                </c:pt>
                <c:pt idx="6">
                  <c:v>87.7</c:v>
                </c:pt>
                <c:pt idx="7">
                  <c:v>87.23</c:v>
                </c:pt>
                <c:pt idx="8">
                  <c:v>85.42</c:v>
                </c:pt>
                <c:pt idx="9">
                  <c:v>82.75</c:v>
                </c:pt>
                <c:pt idx="10">
                  <c:v>79.91</c:v>
                </c:pt>
                <c:pt idx="11">
                  <c:v>77.64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Tmains!$E$2</c:f>
              <c:strCache>
                <c:ptCount val="1"/>
                <c:pt idx="0">
                  <c:v>Orlando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Tmains!$E$3:$E$14</c:f>
              <c:numCache>
                <c:formatCode>0.00</c:formatCode>
                <c:ptCount val="12"/>
                <c:pt idx="0">
                  <c:v>69.98</c:v>
                </c:pt>
                <c:pt idx="1">
                  <c:v>70.47</c:v>
                </c:pt>
                <c:pt idx="2">
                  <c:v>72.760000000000005</c:v>
                </c:pt>
                <c:pt idx="3">
                  <c:v>76.260000000000005</c:v>
                </c:pt>
                <c:pt idx="4">
                  <c:v>80.06</c:v>
                </c:pt>
                <c:pt idx="5">
                  <c:v>83.17</c:v>
                </c:pt>
                <c:pt idx="6">
                  <c:v>84.77</c:v>
                </c:pt>
                <c:pt idx="7">
                  <c:v>84.45</c:v>
                </c:pt>
                <c:pt idx="8">
                  <c:v>82.29</c:v>
                </c:pt>
                <c:pt idx="9">
                  <c:v>78.86</c:v>
                </c:pt>
                <c:pt idx="10">
                  <c:v>75.05</c:v>
                </c:pt>
                <c:pt idx="11">
                  <c:v>71.849999999999994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Tmains!$F$2</c:f>
              <c:strCache>
                <c:ptCount val="1"/>
                <c:pt idx="0">
                  <c:v>Tampa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Tmains!$F$3:$F$14</c:f>
              <c:numCache>
                <c:formatCode>0.00</c:formatCode>
                <c:ptCount val="12"/>
                <c:pt idx="0">
                  <c:v>70.22</c:v>
                </c:pt>
                <c:pt idx="1">
                  <c:v>70.78</c:v>
                </c:pt>
                <c:pt idx="2">
                  <c:v>73.25</c:v>
                </c:pt>
                <c:pt idx="3">
                  <c:v>76.989999999999995</c:v>
                </c:pt>
                <c:pt idx="4">
                  <c:v>81.010000000000005</c:v>
                </c:pt>
                <c:pt idx="5">
                  <c:v>84.27</c:v>
                </c:pt>
                <c:pt idx="6">
                  <c:v>85.93</c:v>
                </c:pt>
                <c:pt idx="7">
                  <c:v>85.54</c:v>
                </c:pt>
                <c:pt idx="8">
                  <c:v>83.22</c:v>
                </c:pt>
                <c:pt idx="9">
                  <c:v>79.56</c:v>
                </c:pt>
                <c:pt idx="10">
                  <c:v>75.52</c:v>
                </c:pt>
                <c:pt idx="11">
                  <c:v>72.150000000000006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Tmains!$G$2</c:f>
              <c:strCache>
                <c:ptCount val="1"/>
                <c:pt idx="0">
                  <c:v>Datona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Tmains!$G$3:$G$14</c:f>
              <c:numCache>
                <c:formatCode>0.00</c:formatCode>
                <c:ptCount val="12"/>
                <c:pt idx="0">
                  <c:v>68.400000000000006</c:v>
                </c:pt>
                <c:pt idx="1">
                  <c:v>68.84</c:v>
                </c:pt>
                <c:pt idx="2">
                  <c:v>71.23</c:v>
                </c:pt>
                <c:pt idx="3">
                  <c:v>74.930000000000007</c:v>
                </c:pt>
                <c:pt idx="4">
                  <c:v>79</c:v>
                </c:pt>
                <c:pt idx="5">
                  <c:v>82.36</c:v>
                </c:pt>
                <c:pt idx="6">
                  <c:v>84.14</c:v>
                </c:pt>
                <c:pt idx="7">
                  <c:v>83.88</c:v>
                </c:pt>
                <c:pt idx="8">
                  <c:v>81.64</c:v>
                </c:pt>
                <c:pt idx="9">
                  <c:v>78.010000000000005</c:v>
                </c:pt>
                <c:pt idx="10">
                  <c:v>73.930000000000007</c:v>
                </c:pt>
                <c:pt idx="11">
                  <c:v>70.48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4805104"/>
        <c:axId val="1504800752"/>
      </c:lineChart>
      <c:catAx>
        <c:axId val="150480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4800752"/>
        <c:crosses val="autoZero"/>
        <c:auto val="1"/>
        <c:lblAlgn val="ctr"/>
        <c:lblOffset val="100"/>
        <c:noMultiLvlLbl val="0"/>
      </c:catAx>
      <c:valAx>
        <c:axId val="1504800752"/>
        <c:scaling>
          <c:orientation val="minMax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0480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HWgpd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Tmains!$P$2</c:f>
              <c:strCache>
                <c:ptCount val="1"/>
                <c:pt idx="0">
                  <c:v>Jax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Tmains!$P$3:$P$14</c:f>
              <c:numCache>
                <c:formatCode>0.0</c:formatCode>
                <c:ptCount val="12"/>
                <c:pt idx="0">
                  <c:v>48.106672667591752</c:v>
                </c:pt>
                <c:pt idx="1">
                  <c:v>48.001767629596912</c:v>
                </c:pt>
                <c:pt idx="2">
                  <c:v>47.08815022383596</c:v>
                </c:pt>
                <c:pt idx="3">
                  <c:v>45.416219972085301</c:v>
                </c:pt>
                <c:pt idx="4">
                  <c:v>43.189177891820151</c:v>
                </c:pt>
                <c:pt idx="5">
                  <c:v>40.915137556168439</c:v>
                </c:pt>
                <c:pt idx="6">
                  <c:v>39.448578177398446</c:v>
                </c:pt>
                <c:pt idx="7">
                  <c:v>39.515949885258806</c:v>
                </c:pt>
                <c:pt idx="8">
                  <c:v>41.084119684721124</c:v>
                </c:pt>
                <c:pt idx="9">
                  <c:v>43.381097083739341</c:v>
                </c:pt>
                <c:pt idx="10">
                  <c:v>45.583422520535954</c:v>
                </c:pt>
                <c:pt idx="11">
                  <c:v>47.195783742716657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Tmains!$Q$2</c:f>
              <c:strCache>
                <c:ptCount val="1"/>
                <c:pt idx="0">
                  <c:v>Tally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Tmains!$Q$3:$Q$14</c:f>
              <c:numCache>
                <c:formatCode>0.0</c:formatCode>
                <c:ptCount val="12"/>
                <c:pt idx="0">
                  <c:v>48.458966897681918</c:v>
                </c:pt>
                <c:pt idx="1">
                  <c:v>48.383180530303463</c:v>
                </c:pt>
                <c:pt idx="2">
                  <c:v>47.519002018646994</c:v>
                </c:pt>
                <c:pt idx="3">
                  <c:v>45.906423881124958</c:v>
                </c:pt>
                <c:pt idx="4">
                  <c:v>43.741518098573607</c:v>
                </c:pt>
                <c:pt idx="5">
                  <c:v>41.520666169701542</c:v>
                </c:pt>
                <c:pt idx="6">
                  <c:v>40.050093123804558</c:v>
                </c:pt>
                <c:pt idx="7">
                  <c:v>40.063026976379362</c:v>
                </c:pt>
                <c:pt idx="8">
                  <c:v>41.549649064543409</c:v>
                </c:pt>
                <c:pt idx="9">
                  <c:v>43.780371130926277</c:v>
                </c:pt>
                <c:pt idx="10">
                  <c:v>45.938610544336498</c:v>
                </c:pt>
                <c:pt idx="11">
                  <c:v>47.536278298644902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Tmains!$R$2</c:f>
              <c:strCache>
                <c:ptCount val="1"/>
                <c:pt idx="0">
                  <c:v>Miami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Tmains!$R$3:$R$14</c:f>
              <c:numCache>
                <c:formatCode>0.0</c:formatCode>
                <c:ptCount val="12"/>
                <c:pt idx="0">
                  <c:v>43.250108716971909</c:v>
                </c:pt>
                <c:pt idx="1">
                  <c:v>42.942402963909991</c:v>
                </c:pt>
                <c:pt idx="2">
                  <c:v>41.915067821099903</c:v>
                </c:pt>
                <c:pt idx="3">
                  <c:v>40.287435292617957</c:v>
                </c:pt>
                <c:pt idx="4">
                  <c:v>38.369019789053347</c:v>
                </c:pt>
                <c:pt idx="5">
                  <c:v>36.684251374096561</c:v>
                </c:pt>
                <c:pt idx="6">
                  <c:v>35.857713109953217</c:v>
                </c:pt>
                <c:pt idx="7">
                  <c:v>36.255512404540674</c:v>
                </c:pt>
                <c:pt idx="8">
                  <c:v>37.699215100695149</c:v>
                </c:pt>
                <c:pt idx="9">
                  <c:v>39.603056321083194</c:v>
                </c:pt>
                <c:pt idx="10">
                  <c:v>41.380653526409553</c:v>
                </c:pt>
                <c:pt idx="11">
                  <c:v>42.648176663318914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Tmains!$S$2</c:f>
              <c:strCache>
                <c:ptCount val="1"/>
                <c:pt idx="0">
                  <c:v>Orlando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Tmains!$S$3:$S$14</c:f>
              <c:numCache>
                <c:formatCode>0.0</c:formatCode>
                <c:ptCount val="12"/>
                <c:pt idx="0">
                  <c:v>46.153422298812643</c:v>
                </c:pt>
                <c:pt idx="1">
                  <c:v>45.958679250538452</c:v>
                </c:pt>
                <c:pt idx="2">
                  <c:v>45.000120394952539</c:v>
                </c:pt>
                <c:pt idx="3">
                  <c:v>43.361035988585911</c:v>
                </c:pt>
                <c:pt idx="4">
                  <c:v>41.292386209981728</c:v>
                </c:pt>
                <c:pt idx="5">
                  <c:v>39.319684487782155</c:v>
                </c:pt>
                <c:pt idx="6">
                  <c:v>38.185969069819386</c:v>
                </c:pt>
                <c:pt idx="7">
                  <c:v>38.419869518319416</c:v>
                </c:pt>
                <c:pt idx="8">
                  <c:v>39.9070212753156</c:v>
                </c:pt>
                <c:pt idx="9">
                  <c:v>41.982455268972686</c:v>
                </c:pt>
                <c:pt idx="10">
                  <c:v>43.953669656311909</c:v>
                </c:pt>
                <c:pt idx="11">
                  <c:v>45.390922525361582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Tmains!$T$2</c:f>
              <c:strCache>
                <c:ptCount val="1"/>
                <c:pt idx="0">
                  <c:v>Tampa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Tmains!$T$3:$T$14</c:f>
              <c:numCache>
                <c:formatCode>0.0</c:formatCode>
                <c:ptCount val="12"/>
                <c:pt idx="0">
                  <c:v>46.058473255091414</c:v>
                </c:pt>
                <c:pt idx="1">
                  <c:v>45.833656614867664</c:v>
                </c:pt>
                <c:pt idx="2">
                  <c:v>44.783995634463977</c:v>
                </c:pt>
                <c:pt idx="3">
                  <c:v>42.989049130766581</c:v>
                </c:pt>
                <c:pt idx="4">
                  <c:v>40.719381037163089</c:v>
                </c:pt>
                <c:pt idx="5">
                  <c:v>38.549823384309498</c:v>
                </c:pt>
                <c:pt idx="6">
                  <c:v>37.305961287589973</c:v>
                </c:pt>
                <c:pt idx="7">
                  <c:v>37.607599308214191</c:v>
                </c:pt>
                <c:pt idx="8">
                  <c:v>39.285570250060282</c:v>
                </c:pt>
                <c:pt idx="9">
                  <c:v>41.584344345085192</c:v>
                </c:pt>
                <c:pt idx="10">
                  <c:v>43.726915820827273</c:v>
                </c:pt>
                <c:pt idx="11">
                  <c:v>45.263573694692766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Tmains!$U$2</c:f>
              <c:strCache>
                <c:ptCount val="1"/>
                <c:pt idx="0">
                  <c:v>Datona</c:v>
                </c:pt>
              </c:strCache>
            </c:strRef>
          </c:tx>
          <c:marker>
            <c:symbol val="none"/>
          </c:marker>
          <c:cat>
            <c:strRef>
              <c:f>Tmains!$A$3:$A$14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Tmains!$U$3:$U$14</c:f>
              <c:numCache>
                <c:formatCode>0.0</c:formatCode>
                <c:ptCount val="12"/>
                <c:pt idx="0">
                  <c:v>46.758403718996497</c:v>
                </c:pt>
                <c:pt idx="1">
                  <c:v>46.593347795990049</c:v>
                </c:pt>
                <c:pt idx="2">
                  <c:v>45.649606992197171</c:v>
                </c:pt>
                <c:pt idx="3">
                  <c:v>44.010882051451205</c:v>
                </c:pt>
                <c:pt idx="4">
                  <c:v>41.903802397749004</c:v>
                </c:pt>
                <c:pt idx="5">
                  <c:v>39.861188807733498</c:v>
                </c:pt>
                <c:pt idx="6">
                  <c:v>38.642966883054072</c:v>
                </c:pt>
                <c:pt idx="7">
                  <c:v>38.827487053475615</c:v>
                </c:pt>
                <c:pt idx="8">
                  <c:v>40.325541528183784</c:v>
                </c:pt>
                <c:pt idx="9">
                  <c:v>42.449929695879035</c:v>
                </c:pt>
                <c:pt idx="10">
                  <c:v>44.477196119920613</c:v>
                </c:pt>
                <c:pt idx="11">
                  <c:v>45.954668454082537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4806736"/>
        <c:axId val="1504796944"/>
      </c:lineChart>
      <c:catAx>
        <c:axId val="150480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4796944"/>
        <c:crosses val="autoZero"/>
        <c:auto val="1"/>
        <c:lblAlgn val="ctr"/>
        <c:lblOffset val="100"/>
        <c:noMultiLvlLbl val="0"/>
      </c:catAx>
      <c:valAx>
        <c:axId val="1504796944"/>
        <c:scaling>
          <c:orientation val="minMax"/>
          <c:min val="34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0480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wer"/>
            <c:dispRSqr val="1"/>
            <c:dispEq val="1"/>
            <c:trendlineLbl>
              <c:layout>
                <c:manualLayout>
                  <c:x val="-0.56330577427821527"/>
                  <c:y val="-1.838046453870685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gpd!$N$15:$N$23</c:f>
              <c:numCache>
                <c:formatCode>0.0</c:formatCode>
                <c:ptCount val="9"/>
                <c:pt idx="0">
                  <c:v>10.098746352890238</c:v>
                </c:pt>
                <c:pt idx="1">
                  <c:v>12.798227599631947</c:v>
                </c:pt>
                <c:pt idx="2">
                  <c:v>15.25726829435826</c:v>
                </c:pt>
                <c:pt idx="3">
                  <c:v>17.475868437069185</c:v>
                </c:pt>
                <c:pt idx="4">
                  <c:v>19.454028027764718</c:v>
                </c:pt>
                <c:pt idx="5">
                  <c:v>21.191747066444858</c:v>
                </c:pt>
                <c:pt idx="6">
                  <c:v>22.689025553109605</c:v>
                </c:pt>
                <c:pt idx="7">
                  <c:v>23.945863487758963</c:v>
                </c:pt>
                <c:pt idx="8">
                  <c:v>24.962260870392921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799120"/>
        <c:axId val="1504800208"/>
      </c:scatterChart>
      <c:valAx>
        <c:axId val="1504799120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04800208"/>
        <c:crosses val="autoZero"/>
        <c:crossBetween val="midCat"/>
        <c:majorUnit val="1"/>
        <c:minorUnit val="0.5"/>
      </c:valAx>
      <c:valAx>
        <c:axId val="1504800208"/>
        <c:scaling>
          <c:orientation val="minMax"/>
          <c:min val="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Water Waste (gpd)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0479912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48958333333333331"/>
                  <c:y val="-1.838046453870685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gpd!$O$15:$O$23</c:f>
              <c:numCache>
                <c:formatCode>0.0</c:formatCode>
                <c:ptCount val="9"/>
                <c:pt idx="0">
                  <c:v>25.761253647109761</c:v>
                </c:pt>
                <c:pt idx="1">
                  <c:v>34.941772400368052</c:v>
                </c:pt>
                <c:pt idx="2">
                  <c:v>44.362731705641728</c:v>
                </c:pt>
                <c:pt idx="3">
                  <c:v>54.024131562930812</c:v>
                </c:pt>
                <c:pt idx="4">
                  <c:v>63.925971972235274</c:v>
                </c:pt>
                <c:pt idx="5">
                  <c:v>74.068252933555144</c:v>
                </c:pt>
                <c:pt idx="6">
                  <c:v>84.450974446890399</c:v>
                </c:pt>
                <c:pt idx="7">
                  <c:v>95.074136512241054</c:v>
                </c:pt>
                <c:pt idx="8">
                  <c:v>105.93773912960708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801840"/>
        <c:axId val="1504802384"/>
      </c:scatterChart>
      <c:valAx>
        <c:axId val="1504801840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04802384"/>
        <c:crosses val="autoZero"/>
        <c:crossBetween val="midCat"/>
        <c:majorUnit val="1"/>
        <c:minorUnit val="0.5"/>
      </c:valAx>
      <c:valAx>
        <c:axId val="1504802384"/>
        <c:scaling>
          <c:orientation val="minMax"/>
          <c:min val="16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Fixture Use (gpd)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048018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35712510936132985"/>
                  <c:y val="-5.1985437304207941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gpd!$J$15:$J$23</c:f>
              <c:numCache>
                <c:formatCode>0.000</c:formatCode>
                <c:ptCount val="9"/>
                <c:pt idx="0">
                  <c:v>0.57286004405026847</c:v>
                </c:pt>
                <c:pt idx="1">
                  <c:v>0.58872559035270011</c:v>
                </c:pt>
                <c:pt idx="2">
                  <c:v>0.60145361798076658</c:v>
                </c:pt>
                <c:pt idx="3">
                  <c:v>0.61257297016007684</c:v>
                </c:pt>
                <c:pt idx="4">
                  <c:v>0.62275798821740203</c:v>
                </c:pt>
                <c:pt idx="5">
                  <c:v>0.63235231833182681</c:v>
                </c:pt>
                <c:pt idx="6">
                  <c:v>0.6415494879834972</c:v>
                </c:pt>
                <c:pt idx="7">
                  <c:v>0.65046680761720099</c:v>
                </c:pt>
                <c:pt idx="8">
                  <c:v>0.65917952830630022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545776"/>
        <c:axId val="1508544144"/>
      </c:scatterChart>
      <c:valAx>
        <c:axId val="1508545776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08544144"/>
        <c:crosses val="autoZero"/>
        <c:crossBetween val="midCat"/>
        <c:majorUnit val="1"/>
        <c:minorUnit val="0.5"/>
      </c:valAx>
      <c:valAx>
        <c:axId val="1508544144"/>
        <c:scaling>
          <c:orientation val="minMax"/>
          <c:min val="0.5600000000000000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Ifrac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508545776"/>
        <c:crosses val="autoZero"/>
        <c:crossBetween val="midCat"/>
        <c:majorUnit val="2.0000000000000004E-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48147222222222225"/>
                  <c:y val="8.5012558914006713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gpd!$A$15:$A$23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gpd!$P$15:$P$23</c:f>
              <c:numCache>
                <c:formatCode>0.0</c:formatCode>
                <c:ptCount val="9"/>
                <c:pt idx="0">
                  <c:v>35.86</c:v>
                </c:pt>
                <c:pt idx="1">
                  <c:v>47.739999999999995</c:v>
                </c:pt>
                <c:pt idx="2">
                  <c:v>59.61999999999999</c:v>
                </c:pt>
                <c:pt idx="3">
                  <c:v>71.5</c:v>
                </c:pt>
                <c:pt idx="4">
                  <c:v>83.38</c:v>
                </c:pt>
                <c:pt idx="5">
                  <c:v>95.26</c:v>
                </c:pt>
                <c:pt idx="6">
                  <c:v>107.14</c:v>
                </c:pt>
                <c:pt idx="7">
                  <c:v>119.02000000000001</c:v>
                </c:pt>
                <c:pt idx="8">
                  <c:v>130.9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550128"/>
        <c:axId val="1558149568"/>
      </c:scatterChart>
      <c:valAx>
        <c:axId val="1508550128"/>
        <c:scaling>
          <c:orientation val="minMax"/>
          <c:max val="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Bedrooms (Nbr)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58149568"/>
        <c:crosses val="autoZero"/>
        <c:crossBetween val="midCat"/>
        <c:majorUnit val="1"/>
        <c:minorUnit val="0.5"/>
      </c:valAx>
      <c:valAx>
        <c:axId val="15581495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normailzed</a:t>
                </a:r>
                <a:r>
                  <a:rPr lang="en-US" baseline="0"/>
                  <a:t> Water Use</a:t>
                </a:r>
                <a:r>
                  <a:rPr lang="en-US"/>
                  <a:t> (gpd)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08550128"/>
        <c:crosses val="autoZero"/>
        <c:crossBetween val="midCat"/>
        <c:majorUnit val="2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Energy</a:t>
            </a:r>
            <a:r>
              <a:rPr lang="en-US" sz="1800" baseline="0">
                <a:solidFill>
                  <a:sysClr val="windowText" lastClr="000000"/>
                </a:solidFill>
              </a:rPr>
              <a:t> Consumption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169166666666666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89391951006122"/>
          <c:y val="0.13798629337999416"/>
          <c:w val="0.80686307961504811"/>
          <c:h val="0.73278506853309999"/>
        </c:manualLayout>
      </c:layout>
      <c:lineChart>
        <c:grouping val="standard"/>
        <c:varyColors val="0"/>
        <c:ser>
          <c:idx val="0"/>
          <c:order val="0"/>
          <c:tx>
            <c:strRef>
              <c:f>'Monthly Calcs'!$W$17</c:f>
              <c:strCache>
                <c:ptCount val="1"/>
                <c:pt idx="0">
                  <c:v>RD Tot (1879 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Calcs'!$AF$4:$AF$15</c:f>
              <c:numCache>
                <c:formatCode>0.0</c:formatCode>
                <c:ptCount val="12"/>
                <c:pt idx="0">
                  <c:v>198.73668157923976</c:v>
                </c:pt>
                <c:pt idx="1">
                  <c:v>177.2102387348549</c:v>
                </c:pt>
                <c:pt idx="2">
                  <c:v>184.32815971639511</c:v>
                </c:pt>
                <c:pt idx="3">
                  <c:v>160.82703324145587</c:v>
                </c:pt>
                <c:pt idx="4">
                  <c:v>146.49283252259451</c:v>
                </c:pt>
                <c:pt idx="5">
                  <c:v>126.16833537457623</c:v>
                </c:pt>
                <c:pt idx="6">
                  <c:v>122.08127210029308</c:v>
                </c:pt>
                <c:pt idx="7">
                  <c:v>123.73980699098016</c:v>
                </c:pt>
                <c:pt idx="8">
                  <c:v>130.58217822882426</c:v>
                </c:pt>
                <c:pt idx="9">
                  <c:v>152.71233836267132</c:v>
                </c:pt>
                <c:pt idx="10">
                  <c:v>166.896067166047</c:v>
                </c:pt>
                <c:pt idx="11">
                  <c:v>189.04461831178676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'Monthly Calcs'!$W$18</c:f>
              <c:strCache>
                <c:ptCount val="1"/>
                <c:pt idx="0">
                  <c:v>PD Tot (1736 kWh)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Calcs'!$AH$4:$AH$15</c:f>
              <c:numCache>
                <c:formatCode>0.0</c:formatCode>
                <c:ptCount val="12"/>
                <c:pt idx="0">
                  <c:v>182.94859860066589</c:v>
                </c:pt>
                <c:pt idx="1">
                  <c:v>163.16481843313059</c:v>
                </c:pt>
                <c:pt idx="2">
                  <c:v>169.88920628954028</c:v>
                </c:pt>
                <c:pt idx="3">
                  <c:v>148.49760515060893</c:v>
                </c:pt>
                <c:pt idx="4">
                  <c:v>135.59655741500188</c:v>
                </c:pt>
                <c:pt idx="5">
                  <c:v>117.08414464821466</c:v>
                </c:pt>
                <c:pt idx="6">
                  <c:v>113.47075245622437</c:v>
                </c:pt>
                <c:pt idx="7">
                  <c:v>114.97399185894382</c:v>
                </c:pt>
                <c:pt idx="8">
                  <c:v>121.08470112319392</c:v>
                </c:pt>
                <c:pt idx="9">
                  <c:v>141.23370517520001</c:v>
                </c:pt>
                <c:pt idx="10">
                  <c:v>153.99837030370549</c:v>
                </c:pt>
                <c:pt idx="11">
                  <c:v>174.16404334102393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29344"/>
        <c:axId val="1554746208"/>
      </c:lineChart>
      <c:catAx>
        <c:axId val="155472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46208"/>
        <c:crosses val="autoZero"/>
        <c:auto val="1"/>
        <c:lblAlgn val="ctr"/>
        <c:lblOffset val="100"/>
        <c:tickMarkSkip val="1"/>
        <c:noMultiLvlLbl val="0"/>
      </c:catAx>
      <c:valAx>
        <c:axId val="155474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strRef>
              <c:f>'Monthly Calcs'!$Z$3</c:f>
              <c:strCache>
                <c:ptCount val="1"/>
                <c:pt idx="0">
                  <c:v>kWh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2934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6048578302712159"/>
          <c:y val="0.14172404059921084"/>
          <c:w val="0.37562532808398952"/>
          <c:h val="0.1562510936132983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Reference Design</a:t>
            </a:r>
          </a:p>
        </c:rich>
      </c:tx>
      <c:layout>
        <c:manualLayout>
          <c:xMode val="edge"/>
          <c:yMode val="edge"/>
          <c:x val="0.2841944444444444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2541666666666668"/>
          <c:w val="0.67619203849518805"/>
          <c:h val="0.76718394575678039"/>
        </c:manualLayout>
      </c:layout>
      <c:areaChart>
        <c:grouping val="stacked"/>
        <c:varyColors val="0"/>
        <c:ser>
          <c:idx val="0"/>
          <c:order val="0"/>
          <c:tx>
            <c:v>refCWgpd</c:v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Calcs'!$T$4:$T$15</c:f>
              <c:numCache>
                <c:formatCode>0.00</c:formatCode>
                <c:ptCount val="12"/>
                <c:pt idx="0">
                  <c:v>3.888566185718028</c:v>
                </c:pt>
                <c:pt idx="1">
                  <c:v>3.888566185718028</c:v>
                </c:pt>
                <c:pt idx="2">
                  <c:v>3.888566185718028</c:v>
                </c:pt>
                <c:pt idx="3">
                  <c:v>3.888566185718028</c:v>
                </c:pt>
                <c:pt idx="4">
                  <c:v>3.888566185718028</c:v>
                </c:pt>
                <c:pt idx="5">
                  <c:v>3.888566185718028</c:v>
                </c:pt>
                <c:pt idx="6">
                  <c:v>3.888566185718028</c:v>
                </c:pt>
                <c:pt idx="7">
                  <c:v>3.888566185718028</c:v>
                </c:pt>
                <c:pt idx="8">
                  <c:v>3.888566185718028</c:v>
                </c:pt>
                <c:pt idx="9">
                  <c:v>3.888566185718028</c:v>
                </c:pt>
                <c:pt idx="10">
                  <c:v>3.888566185718028</c:v>
                </c:pt>
                <c:pt idx="11">
                  <c:v>3.888566185718028</c:v>
                </c:pt>
              </c:numCache>
            </c:numRef>
          </c:val>
        </c:ser>
        <c:ser>
          <c:idx val="1"/>
          <c:order val="1"/>
          <c:tx>
            <c:v>refDWgpd</c:v>
          </c:tx>
          <c:spPr>
            <a:solidFill>
              <a:schemeClr val="accent6">
                <a:lumMod val="40000"/>
                <a:lumOff val="60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Calcs'!$V$4:$V$15</c:f>
              <c:numCache>
                <c:formatCode>0.00</c:formatCode>
                <c:ptCount val="12"/>
                <c:pt idx="0">
                  <c:v>4.3169753424657529</c:v>
                </c:pt>
                <c:pt idx="1">
                  <c:v>4.3169753424657529</c:v>
                </c:pt>
                <c:pt idx="2">
                  <c:v>4.3169753424657529</c:v>
                </c:pt>
                <c:pt idx="3">
                  <c:v>4.3169753424657529</c:v>
                </c:pt>
                <c:pt idx="4">
                  <c:v>4.3169753424657529</c:v>
                </c:pt>
                <c:pt idx="5">
                  <c:v>4.3169753424657529</c:v>
                </c:pt>
                <c:pt idx="6">
                  <c:v>4.3169753424657529</c:v>
                </c:pt>
                <c:pt idx="7">
                  <c:v>4.3169753424657529</c:v>
                </c:pt>
                <c:pt idx="8">
                  <c:v>4.3169753424657529</c:v>
                </c:pt>
                <c:pt idx="9">
                  <c:v>4.3169753424657529</c:v>
                </c:pt>
                <c:pt idx="10">
                  <c:v>4.3169753424657529</c:v>
                </c:pt>
                <c:pt idx="11">
                  <c:v>4.3169753424657529</c:v>
                </c:pt>
              </c:numCache>
            </c:numRef>
          </c:val>
        </c:ser>
        <c:ser>
          <c:idx val="2"/>
          <c:order val="2"/>
          <c:tx>
            <c:v>refWgpd</c:v>
          </c:tx>
          <c:spPr>
            <a:solidFill>
              <a:schemeClr val="accent3">
                <a:lumMod val="75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Calcs'!$R$4:$R$15</c:f>
              <c:numCache>
                <c:formatCode>0.00</c:formatCode>
                <c:ptCount val="12"/>
                <c:pt idx="0">
                  <c:v>10.004232377108616</c:v>
                </c:pt>
                <c:pt idx="1">
                  <c:v>9.9528921001498709</c:v>
                </c:pt>
                <c:pt idx="2">
                  <c:v>9.7001864063489407</c:v>
                </c:pt>
                <c:pt idx="3">
                  <c:v>9.2680731775206642</c:v>
                </c:pt>
                <c:pt idx="4">
                  <c:v>8.7227132609261027</c:v>
                </c:pt>
                <c:pt idx="5">
                  <c:v>8.2026482127908764</c:v>
                </c:pt>
                <c:pt idx="6">
                  <c:v>7.9037658441188192</c:v>
                </c:pt>
                <c:pt idx="7">
                  <c:v>7.9654292201067438</c:v>
                </c:pt>
                <c:pt idx="8">
                  <c:v>8.3574883141821736</c:v>
                </c:pt>
                <c:pt idx="9">
                  <c:v>8.904636759213826</c:v>
                </c:pt>
                <c:pt idx="10">
                  <c:v>9.4243096999832812</c:v>
                </c:pt>
                <c:pt idx="11">
                  <c:v>9.803213907402629</c:v>
                </c:pt>
              </c:numCache>
            </c:numRef>
          </c:val>
        </c:ser>
        <c:ser>
          <c:idx val="3"/>
          <c:order val="3"/>
          <c:tx>
            <c:v>refFgpd</c:v>
          </c:tx>
          <c:spPr>
            <a:solidFill>
              <a:schemeClr val="accent3">
                <a:lumMod val="40000"/>
                <a:lumOff val="60000"/>
              </a:schemeClr>
            </a:solidFill>
            <a:ln w="6350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Calcs'!$L$4:$L$15</c:f>
              <c:numCache>
                <c:formatCode>0.00</c:formatCode>
                <c:ptCount val="12"/>
                <c:pt idx="0">
                  <c:v>28.387713558705926</c:v>
                </c:pt>
                <c:pt idx="1">
                  <c:v>28.2420319090409</c:v>
                </c:pt>
                <c:pt idx="2">
                  <c:v>27.524961715160796</c:v>
                </c:pt>
                <c:pt idx="3">
                  <c:v>26.298810012310213</c:v>
                </c:pt>
                <c:pt idx="4">
                  <c:v>24.751312861593231</c:v>
                </c:pt>
                <c:pt idx="5">
                  <c:v>23.275591680612003</c:v>
                </c:pt>
                <c:pt idx="6">
                  <c:v>22.427491921451658</c:v>
                </c:pt>
                <c:pt idx="7">
                  <c:v>22.602466091245375</c:v>
                </c:pt>
                <c:pt idx="8">
                  <c:v>23.714961367361269</c:v>
                </c:pt>
                <c:pt idx="9">
                  <c:v>25.267533593411358</c:v>
                </c:pt>
                <c:pt idx="10">
                  <c:v>26.742142142142143</c:v>
                </c:pt>
                <c:pt idx="11">
                  <c:v>27.817309501411103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755456"/>
        <c:axId val="1554750016"/>
      </c:areaChart>
      <c:catAx>
        <c:axId val="155475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50016"/>
        <c:crosses val="autoZero"/>
        <c:auto val="1"/>
        <c:lblAlgn val="ctr"/>
        <c:lblOffset val="100"/>
        <c:noMultiLvlLbl val="0"/>
      </c:catAx>
      <c:valAx>
        <c:axId val="155475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Gallons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55456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Proposed</a:t>
            </a:r>
            <a:r>
              <a:rPr lang="en-US" sz="1800" baseline="0"/>
              <a:t> Design</a:t>
            </a:r>
            <a:endParaRPr lang="en-US" sz="1800"/>
          </a:p>
        </c:rich>
      </c:tx>
      <c:layout>
        <c:manualLayout>
          <c:xMode val="edge"/>
          <c:yMode val="edge"/>
          <c:x val="0.3019652230971128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2541666666666668"/>
          <c:w val="0.67619203849518805"/>
          <c:h val="0.76718394575678039"/>
        </c:manualLayout>
      </c:layout>
      <c:areaChart>
        <c:grouping val="stacked"/>
        <c:varyColors val="0"/>
        <c:ser>
          <c:idx val="0"/>
          <c:order val="0"/>
          <c:tx>
            <c:v>CWgpd</c:v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Calcs'!$U$4:$U$15</c:f>
              <c:numCache>
                <c:formatCode>0.00</c:formatCode>
                <c:ptCount val="12"/>
                <c:pt idx="0">
                  <c:v>3.8887507850298402</c:v>
                </c:pt>
                <c:pt idx="1">
                  <c:v>3.8887507850298402</c:v>
                </c:pt>
                <c:pt idx="2">
                  <c:v>3.8887507850298402</c:v>
                </c:pt>
                <c:pt idx="3">
                  <c:v>3.8887507850298402</c:v>
                </c:pt>
                <c:pt idx="4">
                  <c:v>3.8887507850298402</c:v>
                </c:pt>
                <c:pt idx="5">
                  <c:v>3.8887507850298402</c:v>
                </c:pt>
                <c:pt idx="6">
                  <c:v>3.8887507850298402</c:v>
                </c:pt>
                <c:pt idx="7">
                  <c:v>3.8887507850298402</c:v>
                </c:pt>
                <c:pt idx="8">
                  <c:v>3.8887507850298402</c:v>
                </c:pt>
                <c:pt idx="9">
                  <c:v>3.8887507850298402</c:v>
                </c:pt>
                <c:pt idx="10">
                  <c:v>3.8887507850298402</c:v>
                </c:pt>
                <c:pt idx="11">
                  <c:v>3.8887507850298402</c:v>
                </c:pt>
              </c:numCache>
            </c:numRef>
          </c:val>
        </c:ser>
        <c:ser>
          <c:idx val="1"/>
          <c:order val="1"/>
          <c:tx>
            <c:v>DWgpd</c:v>
          </c:tx>
          <c:spPr>
            <a:solidFill>
              <a:schemeClr val="accent6">
                <a:lumMod val="40000"/>
                <a:lumOff val="60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Calcs'!$W$4:$W$15</c:f>
              <c:numCache>
                <c:formatCode>0.00</c:formatCode>
                <c:ptCount val="12"/>
                <c:pt idx="0">
                  <c:v>4.3173548719475869</c:v>
                </c:pt>
                <c:pt idx="1">
                  <c:v>4.3173548719475869</c:v>
                </c:pt>
                <c:pt idx="2">
                  <c:v>4.3173548719475869</c:v>
                </c:pt>
                <c:pt idx="3">
                  <c:v>4.3173548719475869</c:v>
                </c:pt>
                <c:pt idx="4">
                  <c:v>4.3173548719475869</c:v>
                </c:pt>
                <c:pt idx="5">
                  <c:v>4.3173548719475869</c:v>
                </c:pt>
                <c:pt idx="6">
                  <c:v>4.3173548719475869</c:v>
                </c:pt>
                <c:pt idx="7">
                  <c:v>4.3173548719475869</c:v>
                </c:pt>
                <c:pt idx="8">
                  <c:v>4.3173548719475869</c:v>
                </c:pt>
                <c:pt idx="9">
                  <c:v>4.3173548719475869</c:v>
                </c:pt>
                <c:pt idx="10">
                  <c:v>4.3173548719475869</c:v>
                </c:pt>
                <c:pt idx="11">
                  <c:v>4.3173548719475869</c:v>
                </c:pt>
              </c:numCache>
            </c:numRef>
          </c:val>
        </c:ser>
        <c:ser>
          <c:idx val="2"/>
          <c:order val="2"/>
          <c:tx>
            <c:v>Wgpd</c:v>
          </c:tx>
          <c:spPr>
            <a:solidFill>
              <a:schemeClr val="accent3">
                <a:lumMod val="75000"/>
              </a:schemeClr>
            </a:solidFill>
            <a:ln w="9525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Calcs'!$S$4:$S$15</c:f>
              <c:numCache>
                <c:formatCode>0.00</c:formatCode>
                <c:ptCount val="12"/>
                <c:pt idx="0">
                  <c:v>3.3339104396714463</c:v>
                </c:pt>
                <c:pt idx="1">
                  <c:v>3.3168012923749446</c:v>
                </c:pt>
                <c:pt idx="2">
                  <c:v>3.2325871199157845</c:v>
                </c:pt>
                <c:pt idx="3">
                  <c:v>3.0885853864087616</c:v>
                </c:pt>
                <c:pt idx="4">
                  <c:v>2.9068441942036238</c:v>
                </c:pt>
                <c:pt idx="5">
                  <c:v>2.7335325169125597</c:v>
                </c:pt>
                <c:pt idx="6">
                  <c:v>2.6339299675525965</c:v>
                </c:pt>
                <c:pt idx="7">
                  <c:v>2.6544792876005725</c:v>
                </c:pt>
                <c:pt idx="8">
                  <c:v>2.7851329807012095</c:v>
                </c:pt>
                <c:pt idx="9">
                  <c:v>2.9674702000080075</c:v>
                </c:pt>
                <c:pt idx="10">
                  <c:v>3.1406512075194284</c:v>
                </c:pt>
                <c:pt idx="11">
                  <c:v>3.2669210346419262</c:v>
                </c:pt>
              </c:numCache>
            </c:numRef>
          </c:val>
        </c:ser>
        <c:ser>
          <c:idx val="3"/>
          <c:order val="3"/>
          <c:tx>
            <c:v>Fgpd</c:v>
          </c:tx>
          <c:spPr>
            <a:solidFill>
              <a:schemeClr val="accent3">
                <a:lumMod val="40000"/>
                <a:lumOff val="60000"/>
              </a:schemeClr>
            </a:solidFill>
            <a:ln w="6350">
              <a:solidFill>
                <a:schemeClr val="tx1"/>
              </a:solidFill>
            </a:ln>
            <a:effectLst/>
          </c:spPr>
          <c:cat>
            <c:strRef>
              <c:f>'Monthly Calcs'!$A$4:$A$15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Calcs'!$M$4:$M$15</c:f>
              <c:numCache>
                <c:formatCode>0.00</c:formatCode>
                <c:ptCount val="12"/>
                <c:pt idx="0">
                  <c:v>28.387713558705926</c:v>
                </c:pt>
                <c:pt idx="1">
                  <c:v>28.2420319090409</c:v>
                </c:pt>
                <c:pt idx="2">
                  <c:v>27.524961715160796</c:v>
                </c:pt>
                <c:pt idx="3">
                  <c:v>26.298810012310213</c:v>
                </c:pt>
                <c:pt idx="4">
                  <c:v>24.751312861593231</c:v>
                </c:pt>
                <c:pt idx="5">
                  <c:v>23.275591680612003</c:v>
                </c:pt>
                <c:pt idx="6">
                  <c:v>22.427491921451658</c:v>
                </c:pt>
                <c:pt idx="7">
                  <c:v>22.602466091245375</c:v>
                </c:pt>
                <c:pt idx="8">
                  <c:v>23.714961367361269</c:v>
                </c:pt>
                <c:pt idx="9">
                  <c:v>25.267533593411358</c:v>
                </c:pt>
                <c:pt idx="10">
                  <c:v>26.742142142142143</c:v>
                </c:pt>
                <c:pt idx="11">
                  <c:v>27.817309501411103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753824"/>
        <c:axId val="1554748384"/>
      </c:areaChart>
      <c:catAx>
        <c:axId val="15547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48384"/>
        <c:crosses val="autoZero"/>
        <c:auto val="1"/>
        <c:lblAlgn val="ctr"/>
        <c:lblOffset val="100"/>
        <c:noMultiLvlLbl val="0"/>
      </c:catAx>
      <c:valAx>
        <c:axId val="15547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Gallons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5382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Old vs. New Hot Water Procedures (Reference)</a:t>
            </a:r>
          </a:p>
        </c:rich>
      </c:tx>
      <c:layout>
        <c:manualLayout>
          <c:xMode val="edge"/>
          <c:yMode val="edge"/>
          <c:x val="0.176048556430446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38013998250219"/>
          <c:y val="0.13798629337999416"/>
          <c:w val="0.78905030621172367"/>
          <c:h val="0.73714421114027417"/>
        </c:manualLayout>
      </c:layout>
      <c:lineChart>
        <c:grouping val="standard"/>
        <c:varyColors val="0"/>
        <c:ser>
          <c:idx val="5"/>
          <c:order val="0"/>
          <c:tx>
            <c:v>Jax-old</c:v>
          </c:tx>
          <c:spPr>
            <a:ln w="25400" cap="rnd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Calcs'!$AC$27:$AC$29</c:f>
              <c:numCache>
                <c:formatCode>0</c:formatCode>
                <c:ptCount val="3"/>
                <c:pt idx="0">
                  <c:v>2105.2383802346371</c:v>
                </c:pt>
                <c:pt idx="1">
                  <c:v>2515.1589891150597</c:v>
                </c:pt>
                <c:pt idx="2">
                  <c:v>2925.0795979954814</c:v>
                </c:pt>
              </c:numCache>
            </c:numRef>
          </c:val>
          <c:smooth val="0"/>
        </c:ser>
        <c:ser>
          <c:idx val="4"/>
          <c:order val="1"/>
          <c:tx>
            <c:v>Jax-new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noFill/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Calcs'!$AA$27:$AA$29</c:f>
              <c:numCache>
                <c:formatCode>0</c:formatCode>
                <c:ptCount val="3"/>
                <c:pt idx="0">
                  <c:v>1692.4402184304508</c:v>
                </c:pt>
                <c:pt idx="1">
                  <c:v>2100.8045199379198</c:v>
                </c:pt>
                <c:pt idx="2">
                  <c:v>2496.8697251865801</c:v>
                </c:pt>
              </c:numCache>
            </c:numRef>
          </c:val>
          <c:smooth val="0"/>
        </c:ser>
        <c:ser>
          <c:idx val="3"/>
          <c:order val="2"/>
          <c:tx>
            <c:v>Orlando-old</c:v>
          </c:tx>
          <c:spPr>
            <a:ln w="25400" cap="rnd">
              <a:solidFill>
                <a:schemeClr val="accent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Calcs'!$AC$24:$AC$26</c:f>
              <c:numCache>
                <c:formatCode>0</c:formatCode>
                <c:ptCount val="3"/>
                <c:pt idx="0">
                  <c:v>1942.0996046706398</c:v>
                </c:pt>
                <c:pt idx="1">
                  <c:v>2320.2651695885766</c:v>
                </c:pt>
                <c:pt idx="2">
                  <c:v>2698.4307345065135</c:v>
                </c:pt>
              </c:numCache>
            </c:numRef>
          </c:val>
          <c:smooth val="0"/>
        </c:ser>
        <c:ser>
          <c:idx val="2"/>
          <c:order val="3"/>
          <c:tx>
            <c:v>Orlando-new</c:v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Calcs'!$AA$24:$AA$26</c:f>
              <c:numCache>
                <c:formatCode>0</c:formatCode>
                <c:ptCount val="3"/>
                <c:pt idx="0">
                  <c:v>1514.589678179258</c:v>
                </c:pt>
                <c:pt idx="1">
                  <c:v>1878.8434077191434</c:v>
                </c:pt>
                <c:pt idx="2">
                  <c:v>2232.2113914569213</c:v>
                </c:pt>
              </c:numCache>
            </c:numRef>
          </c:val>
          <c:smooth val="0"/>
        </c:ser>
        <c:ser>
          <c:idx val="1"/>
          <c:order val="4"/>
          <c:tx>
            <c:v>Miami-old</c:v>
          </c:tx>
          <c:spPr>
            <a:ln w="254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Calcs'!$AC$21:$AC$23</c:f>
              <c:numCache>
                <c:formatCode>0</c:formatCode>
                <c:ptCount val="3"/>
                <c:pt idx="0">
                  <c:v>1729.8733400972635</c:v>
                </c:pt>
                <c:pt idx="1">
                  <c:v>2066.4663632508395</c:v>
                </c:pt>
                <c:pt idx="2">
                  <c:v>2403.0593864044149</c:v>
                </c:pt>
              </c:numCache>
            </c:numRef>
          </c:val>
          <c:smooth val="0"/>
        </c:ser>
        <c:ser>
          <c:idx val="0"/>
          <c:order val="5"/>
          <c:tx>
            <c:v>Miami-new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noFill/>
              <a:ln w="19050">
                <a:solidFill>
                  <a:srgbClr val="00B050"/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Calcs'!$AA$21:$AA$23</c:f>
              <c:numCache>
                <c:formatCode>0</c:formatCode>
                <c:ptCount val="3"/>
                <c:pt idx="0">
                  <c:v>1283.1033095226248</c:v>
                </c:pt>
                <c:pt idx="1">
                  <c:v>1589.6090920737231</c:v>
                </c:pt>
                <c:pt idx="2">
                  <c:v>1887.0794355317305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48928"/>
        <c:axId val="1554749472"/>
      </c:lineChart>
      <c:catAx>
        <c:axId val="155474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49472"/>
        <c:crosses val="autoZero"/>
        <c:auto val="1"/>
        <c:lblAlgn val="ctr"/>
        <c:lblOffset val="100"/>
        <c:noMultiLvlLbl val="0"/>
      </c:catAx>
      <c:valAx>
        <c:axId val="1554749472"/>
        <c:scaling>
          <c:orientation val="minMax"/>
          <c:max val="35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kWh/year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in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48928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5423556430446195"/>
          <c:y val="0.13620188101487313"/>
          <c:w val="0.60409776902887136"/>
          <c:h val="0.228012540099154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Old vs. New Hot Water Procedures (Reference)</a:t>
            </a:r>
          </a:p>
        </c:rich>
      </c:tx>
      <c:layout>
        <c:manualLayout>
          <c:xMode val="edge"/>
          <c:yMode val="edge"/>
          <c:x val="0.1621596675415573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3801399825022"/>
          <c:y val="0.13798629337999416"/>
          <c:w val="0.81405030621172358"/>
          <c:h val="0.73714421114027417"/>
        </c:manualLayout>
      </c:layout>
      <c:lineChart>
        <c:grouping val="standard"/>
        <c:varyColors val="0"/>
        <c:ser>
          <c:idx val="1"/>
          <c:order val="0"/>
          <c:tx>
            <c:v>All climates-old</c:v>
          </c:tx>
          <c:spPr>
            <a:ln w="2540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Calcs'!$AB$21:$AB$23</c:f>
              <c:numCache>
                <c:formatCode>0.0</c:formatCode>
                <c:ptCount val="3"/>
                <c:pt idx="0">
                  <c:v>50</c:v>
                </c:pt>
                <c:pt idx="1">
                  <c:v>60.000000000000007</c:v>
                </c:pt>
                <c:pt idx="2">
                  <c:v>70.000000000000014</c:v>
                </c:pt>
              </c:numCache>
            </c:numRef>
          </c:val>
          <c:smooth val="0"/>
        </c:ser>
        <c:ser>
          <c:idx val="4"/>
          <c:order val="1"/>
          <c:tx>
            <c:v>Jax-new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noFill/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Calcs'!$Z$27:$Z$29</c:f>
              <c:numCache>
                <c:formatCode>0.0</c:formatCode>
                <c:ptCount val="3"/>
                <c:pt idx="0">
                  <c:v>35.573026130280446</c:v>
                </c:pt>
                <c:pt idx="1">
                  <c:v>44.474045789385009</c:v>
                </c:pt>
                <c:pt idx="2">
                  <c:v>53.107447359125018</c:v>
                </c:pt>
              </c:numCache>
            </c:numRef>
          </c:val>
          <c:smooth val="0"/>
        </c:ser>
        <c:ser>
          <c:idx val="2"/>
          <c:order val="2"/>
          <c:tx>
            <c:v>Orlando-new</c:v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Calcs'!$Z$24:$Z$26</c:f>
              <c:numCache>
                <c:formatCode>0.0</c:formatCode>
                <c:ptCount val="3"/>
                <c:pt idx="0">
                  <c:v>34.238668603971448</c:v>
                </c:pt>
                <c:pt idx="1">
                  <c:v>42.790353843357643</c:v>
                </c:pt>
                <c:pt idx="2">
                  <c:v>51.086844815080475</c:v>
                </c:pt>
              </c:numCache>
            </c:numRef>
          </c:val>
          <c:smooth val="0"/>
        </c:ser>
        <c:ser>
          <c:idx val="0"/>
          <c:order val="3"/>
          <c:tx>
            <c:v>Miami-new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noFill/>
              <a:ln w="19050">
                <a:solidFill>
                  <a:srgbClr val="00B050"/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Calcs'!$Z$21:$Z$23</c:f>
              <c:numCache>
                <c:formatCode>0.0</c:formatCode>
                <c:ptCount val="3"/>
                <c:pt idx="0">
                  <c:v>32.100248388820923</c:v>
                </c:pt>
                <c:pt idx="1">
                  <c:v>40.092095825935317</c:v>
                </c:pt>
                <c:pt idx="2">
                  <c:v>47.848659215062426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51648"/>
        <c:axId val="1554752192"/>
      </c:lineChart>
      <c:catAx>
        <c:axId val="1554751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52192"/>
        <c:crosses val="autoZero"/>
        <c:auto val="1"/>
        <c:lblAlgn val="ctr"/>
        <c:lblOffset val="100"/>
        <c:noMultiLvlLbl val="0"/>
      </c:catAx>
      <c:valAx>
        <c:axId val="1554752192"/>
        <c:scaling>
          <c:orientation val="minMax"/>
          <c:max val="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Gallons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in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51648"/>
        <c:crosses val="autoZero"/>
        <c:crossBetween val="midCat"/>
        <c:majorUnit val="10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2645778652668416"/>
          <c:y val="0.13620188101487313"/>
          <c:w val="0.35131999125109359"/>
          <c:h val="0.30208661417322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Old vs. New Hot Water Procedures (Reference)</a:t>
            </a:r>
          </a:p>
        </c:rich>
      </c:tx>
      <c:layout>
        <c:manualLayout>
          <c:xMode val="edge"/>
          <c:yMode val="edge"/>
          <c:x val="0.176048556430446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4680664916885"/>
          <c:y val="0.13798629337999416"/>
          <c:w val="0.82238363954505689"/>
          <c:h val="0.73714421114027417"/>
        </c:manualLayout>
      </c:layout>
      <c:lineChart>
        <c:grouping val="standard"/>
        <c:varyColors val="0"/>
        <c:ser>
          <c:idx val="5"/>
          <c:order val="0"/>
          <c:tx>
            <c:v>Jax-old</c:v>
          </c:tx>
          <c:spPr>
            <a:ln w="25400" cap="rnd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Calcs'!$AC$37:$AC$39</c:f>
              <c:numCache>
                <c:formatCode>0.00</c:formatCode>
                <c:ptCount val="3"/>
                <c:pt idx="0">
                  <c:v>7.1831526553658973</c:v>
                </c:pt>
                <c:pt idx="1">
                  <c:v>8.5818172141226281</c:v>
                </c:pt>
                <c:pt idx="2">
                  <c:v>9.9804817728793562</c:v>
                </c:pt>
              </c:numCache>
            </c:numRef>
          </c:val>
          <c:smooth val="0"/>
        </c:ser>
        <c:ser>
          <c:idx val="4"/>
          <c:order val="1"/>
          <c:tx>
            <c:v>Jax-new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noFill/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Calcs'!$AA$37:$AA$39</c:f>
              <c:numCache>
                <c:formatCode>0.00</c:formatCode>
                <c:ptCount val="3"/>
                <c:pt idx="0">
                  <c:v>5.7746697776390441</c:v>
                </c:pt>
                <c:pt idx="1">
                  <c:v>7.1680241570148766</c:v>
                </c:pt>
                <c:pt idx="2">
                  <c:v>8.5194135566622773</c:v>
                </c:pt>
              </c:numCache>
            </c:numRef>
          </c:val>
          <c:smooth val="0"/>
        </c:ser>
        <c:ser>
          <c:idx val="3"/>
          <c:order val="2"/>
          <c:tx>
            <c:v>Orlando-old</c:v>
          </c:tx>
          <c:spPr>
            <a:ln w="25400" cap="rnd">
              <a:solidFill>
                <a:schemeClr val="accent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Calcs'!$AC$34:$AC$36</c:f>
              <c:numCache>
                <c:formatCode>0.00</c:formatCode>
                <c:ptCount val="3"/>
                <c:pt idx="0">
                  <c:v>6.6265170078839901</c:v>
                </c:pt>
                <c:pt idx="1">
                  <c:v>7.916832160463275</c:v>
                </c:pt>
                <c:pt idx="2">
                  <c:v>9.2071473130425598</c:v>
                </c:pt>
              </c:numCache>
            </c:numRef>
          </c:val>
          <c:smooth val="0"/>
        </c:ser>
        <c:ser>
          <c:idx val="2"/>
          <c:order val="3"/>
          <c:tx>
            <c:v>Orlando-new</c:v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Calcs'!$AA$34:$AA$36</c:f>
              <c:numCache>
                <c:formatCode>0.00</c:formatCode>
                <c:ptCount val="3"/>
                <c:pt idx="0">
                  <c:v>5.1678370348684934</c:v>
                </c:pt>
                <c:pt idx="1">
                  <c:v>6.410684481094389</c:v>
                </c:pt>
                <c:pt idx="2">
                  <c:v>7.6163893525894686</c:v>
                </c:pt>
              </c:numCache>
            </c:numRef>
          </c:val>
          <c:smooth val="0"/>
        </c:ser>
        <c:ser>
          <c:idx val="1"/>
          <c:order val="4"/>
          <c:tx>
            <c:v>Miami-old</c:v>
          </c:tx>
          <c:spPr>
            <a:ln w="254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Calcs'!$AC$31:$AC$33</c:f>
              <c:numCache>
                <c:formatCode>0.00</c:formatCode>
                <c:ptCount val="3"/>
                <c:pt idx="0">
                  <c:v>5.9023929988305701</c:v>
                </c:pt>
                <c:pt idx="1">
                  <c:v>7.05086107291811</c:v>
                </c:pt>
                <c:pt idx="2">
                  <c:v>8.1993291470056473</c:v>
                </c:pt>
              </c:numCache>
            </c:numRef>
          </c:val>
          <c:smooth val="0"/>
        </c:ser>
        <c:ser>
          <c:idx val="0"/>
          <c:order val="5"/>
          <c:tx>
            <c:v>Miami-new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noFill/>
              <a:ln w="19050">
                <a:solidFill>
                  <a:srgbClr val="00B050"/>
                </a:solidFill>
              </a:ln>
              <a:effectLst/>
            </c:spPr>
          </c:marker>
          <c:cat>
            <c:strRef>
              <c:f>'Monthly Calcs'!$Y$21:$Y$23</c:f>
              <c:strCache>
                <c:ptCount val="3"/>
                <c:pt idx="0">
                  <c:v>2-br</c:v>
                </c:pt>
                <c:pt idx="1">
                  <c:v>3-br</c:v>
                </c:pt>
                <c:pt idx="2">
                  <c:v>4-br</c:v>
                </c:pt>
              </c:strCache>
            </c:strRef>
          </c:cat>
          <c:val>
            <c:numRef>
              <c:f>'Monthly Calcs'!$AA$31:$AA$33</c:f>
              <c:numCache>
                <c:formatCode>0.00</c:formatCode>
                <c:ptCount val="3"/>
                <c:pt idx="0">
                  <c:v>4.3779968251761465</c:v>
                </c:pt>
                <c:pt idx="1">
                  <c:v>5.4238061009748986</c:v>
                </c:pt>
                <c:pt idx="2">
                  <c:v>6.4387861182330104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54912"/>
        <c:axId val="1504804560"/>
      </c:lineChart>
      <c:catAx>
        <c:axId val="15547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4804560"/>
        <c:crosses val="autoZero"/>
        <c:auto val="1"/>
        <c:lblAlgn val="ctr"/>
        <c:lblOffset val="100"/>
        <c:noMultiLvlLbl val="0"/>
      </c:catAx>
      <c:valAx>
        <c:axId val="1504804560"/>
        <c:scaling>
          <c:orientation val="minMax"/>
          <c:max val="12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MBtu/year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in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754912"/>
        <c:crosses val="autoZero"/>
        <c:crossBetween val="midCat"/>
        <c:majorUnit val="2"/>
        <c:minorUnit val="0.5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5423556430446195"/>
          <c:y val="0.13620188101487313"/>
          <c:w val="0.60409776902887136"/>
          <c:h val="0.228012540099154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Gas</a:t>
            </a:r>
            <a:r>
              <a:rPr lang="en-US" baseline="0">
                <a:solidFill>
                  <a:sysClr val="windowText" lastClr="000000"/>
                </a:solidFill>
              </a:rPr>
              <a:t> Storage Tank UA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24759405074368"/>
          <c:y val="0.12541666666666668"/>
          <c:w val="0.83904418197725283"/>
          <c:h val="0.70236913094196562"/>
        </c:manualLayout>
      </c:layout>
      <c:scatterChart>
        <c:scatterStyle val="lineMarker"/>
        <c:varyColors val="0"/>
        <c:ser>
          <c:idx val="1"/>
          <c:order val="0"/>
          <c:tx>
            <c:v>egUSA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8.1806649168853895E-3"/>
                  <c:y val="-0.259141513560804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UAtank!$J$27:$J$36</c:f>
              <c:numCache>
                <c:formatCode>General</c:formatCode>
                <c:ptCount val="10"/>
                <c:pt idx="0">
                  <c:v>0.54</c:v>
                </c:pt>
                <c:pt idx="1">
                  <c:v>0.54</c:v>
                </c:pt>
                <c:pt idx="2">
                  <c:v>0.59</c:v>
                </c:pt>
                <c:pt idx="3">
                  <c:v>0.59</c:v>
                </c:pt>
                <c:pt idx="4">
                  <c:v>0.62</c:v>
                </c:pt>
                <c:pt idx="5">
                  <c:v>0.62</c:v>
                </c:pt>
                <c:pt idx="6">
                  <c:v>0.67</c:v>
                </c:pt>
                <c:pt idx="7">
                  <c:v>0.67</c:v>
                </c:pt>
                <c:pt idx="8">
                  <c:v>0.72</c:v>
                </c:pt>
                <c:pt idx="9">
                  <c:v>0.72</c:v>
                </c:pt>
              </c:numCache>
            </c:numRef>
          </c:xVal>
          <c:yVal>
            <c:numRef>
              <c:f>UAtank!$L$27:$L$36</c:f>
              <c:numCache>
                <c:formatCode>0.000</c:formatCode>
                <c:ptCount val="10"/>
                <c:pt idx="0">
                  <c:v>14.834727200318593</c:v>
                </c:pt>
                <c:pt idx="1">
                  <c:v>14.834727200318593</c:v>
                </c:pt>
                <c:pt idx="2">
                  <c:v>10.61600145799162</c:v>
                </c:pt>
                <c:pt idx="3">
                  <c:v>10.61600145799162</c:v>
                </c:pt>
                <c:pt idx="4">
                  <c:v>8.4113770378078421</c:v>
                </c:pt>
                <c:pt idx="5">
                  <c:v>8.4113770378078421</c:v>
                </c:pt>
                <c:pt idx="6">
                  <c:v>5.1757342320654747</c:v>
                </c:pt>
                <c:pt idx="7">
                  <c:v>5.1757342320654747</c:v>
                </c:pt>
                <c:pt idx="8">
                  <c:v>2.3894862604539999</c:v>
                </c:pt>
                <c:pt idx="9">
                  <c:v>2.3894862604539999</c:v>
                </c:pt>
              </c:numCache>
            </c:numRef>
          </c:yVal>
          <c:smooth val="0"/>
        </c:ser>
        <c:ser>
          <c:idx val="0"/>
          <c:order val="1"/>
          <c:tx>
            <c:v>Burch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165139982502187"/>
                  <c:y val="-8.30967483231262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UAtank!$J$27:$J$36</c:f>
              <c:numCache>
                <c:formatCode>General</c:formatCode>
                <c:ptCount val="10"/>
                <c:pt idx="0">
                  <c:v>0.54</c:v>
                </c:pt>
                <c:pt idx="1">
                  <c:v>0.54</c:v>
                </c:pt>
                <c:pt idx="2">
                  <c:v>0.59</c:v>
                </c:pt>
                <c:pt idx="3">
                  <c:v>0.59</c:v>
                </c:pt>
                <c:pt idx="4">
                  <c:v>0.62</c:v>
                </c:pt>
                <c:pt idx="5">
                  <c:v>0.62</c:v>
                </c:pt>
                <c:pt idx="6">
                  <c:v>0.67</c:v>
                </c:pt>
                <c:pt idx="7">
                  <c:v>0.67</c:v>
                </c:pt>
                <c:pt idx="8">
                  <c:v>0.72</c:v>
                </c:pt>
                <c:pt idx="9">
                  <c:v>0.72</c:v>
                </c:pt>
              </c:numCache>
            </c:numRef>
          </c:xVal>
          <c:yVal>
            <c:numRef>
              <c:f>UAtank!$K$27:$K$36</c:f>
              <c:numCache>
                <c:formatCode>0.000</c:formatCode>
                <c:ptCount val="10"/>
                <c:pt idx="0">
                  <c:v>12.24476558163613</c:v>
                </c:pt>
                <c:pt idx="1">
                  <c:v>12.606556992168889</c:v>
                </c:pt>
                <c:pt idx="2">
                  <c:v>8.8080010166972595</c:v>
                </c:pt>
                <c:pt idx="3">
                  <c:v>9.0438308326577825</c:v>
                </c:pt>
                <c:pt idx="4">
                  <c:v>7.0317470665415014</c:v>
                </c:pt>
                <c:pt idx="5">
                  <c:v>7.2099850032876276</c:v>
                </c:pt>
                <c:pt idx="6">
                  <c:v>4.4489326670641409</c:v>
                </c:pt>
                <c:pt idx="7">
                  <c:v>4.5525031324771552</c:v>
                </c:pt>
                <c:pt idx="8">
                  <c:v>2.2475179653772774</c:v>
                </c:pt>
                <c:pt idx="9">
                  <c:v>2.2958935465567789</c:v>
                </c:pt>
              </c:numCache>
            </c:numRef>
          </c:yVal>
          <c:smooth val="0"/>
        </c:ser>
        <c:ser>
          <c:idx val="2"/>
          <c:order val="2"/>
          <c:tx>
            <c:v>revised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4984733158355205"/>
                  <c:y val="-0.438378171478565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UAtank!$J$27:$J$36</c:f>
              <c:numCache>
                <c:formatCode>General</c:formatCode>
                <c:ptCount val="10"/>
                <c:pt idx="0">
                  <c:v>0.54</c:v>
                </c:pt>
                <c:pt idx="1">
                  <c:v>0.54</c:v>
                </c:pt>
                <c:pt idx="2">
                  <c:v>0.59</c:v>
                </c:pt>
                <c:pt idx="3">
                  <c:v>0.59</c:v>
                </c:pt>
                <c:pt idx="4">
                  <c:v>0.62</c:v>
                </c:pt>
                <c:pt idx="5">
                  <c:v>0.62</c:v>
                </c:pt>
                <c:pt idx="6">
                  <c:v>0.67</c:v>
                </c:pt>
                <c:pt idx="7">
                  <c:v>0.67</c:v>
                </c:pt>
                <c:pt idx="8">
                  <c:v>0.72</c:v>
                </c:pt>
                <c:pt idx="9">
                  <c:v>0.72</c:v>
                </c:pt>
              </c:numCache>
            </c:numRef>
          </c:xVal>
          <c:yVal>
            <c:numRef>
              <c:f>UAtank!$H$27:$H$36</c:f>
              <c:numCache>
                <c:formatCode>0.000</c:formatCode>
                <c:ptCount val="10"/>
                <c:pt idx="0">
                  <c:v>12.277470841006751</c:v>
                </c:pt>
                <c:pt idx="1">
                  <c:v>12.277470841006751</c:v>
                </c:pt>
                <c:pt idx="2">
                  <c:v>8.8959640415769261</c:v>
                </c:pt>
                <c:pt idx="3">
                  <c:v>8.8959640415769261</c:v>
                </c:pt>
                <c:pt idx="4">
                  <c:v>7.1288540367135971</c:v>
                </c:pt>
                <c:pt idx="5">
                  <c:v>7.1288540367135971</c:v>
                </c:pt>
                <c:pt idx="6">
                  <c:v>4.5353343778345847</c:v>
                </c:pt>
                <c:pt idx="7">
                  <c:v>4.5353343778345847</c:v>
                </c:pt>
                <c:pt idx="8">
                  <c:v>2.3020257826887702</c:v>
                </c:pt>
                <c:pt idx="9">
                  <c:v>2.3020257826887702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810000"/>
        <c:axId val="1504803472"/>
      </c:scatterChart>
      <c:valAx>
        <c:axId val="1504810000"/>
        <c:scaling>
          <c:orientation val="minMax"/>
          <c:max val="0.72000000000000008"/>
          <c:min val="0.5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Energy Factor (EF)</a:t>
                </a:r>
              </a:p>
            </c:rich>
          </c:tx>
          <c:layout>
            <c:manualLayout>
              <c:xMode val="edge"/>
              <c:yMode val="edge"/>
              <c:x val="0.40279746281714784"/>
              <c:y val="0.9100462962962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4803472"/>
        <c:crosses val="autoZero"/>
        <c:crossBetween val="midCat"/>
        <c:majorUnit val="2.0000000000000004E-2"/>
      </c:valAx>
      <c:valAx>
        <c:axId val="150480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UAtank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7900845727617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4810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4799540682414711"/>
          <c:y val="0.14430482648002332"/>
          <c:w val="0.1624588801399825"/>
          <c:h val="0.2384751385243511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Electric Storage Tank UA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5870516185478"/>
          <c:y val="0.12541666666666668"/>
          <c:w val="0.82793307086614176"/>
          <c:h val="0.70236913094196562"/>
        </c:manualLayout>
      </c:layout>
      <c:scatterChart>
        <c:scatterStyle val="lineMarker"/>
        <c:varyColors val="0"/>
        <c:ser>
          <c:idx val="0"/>
          <c:order val="0"/>
          <c:tx>
            <c:v>Burch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1.681933508311461E-2"/>
                  <c:y val="-0.240631014873140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UAtank!$J$39:$J$47</c:f>
              <c:numCache>
                <c:formatCode>General</c:formatCode>
                <c:ptCount val="9"/>
                <c:pt idx="0">
                  <c:v>0.86</c:v>
                </c:pt>
                <c:pt idx="1">
                  <c:v>0.88</c:v>
                </c:pt>
                <c:pt idx="2">
                  <c:v>0.9</c:v>
                </c:pt>
                <c:pt idx="3">
                  <c:v>0.91</c:v>
                </c:pt>
                <c:pt idx="4">
                  <c:v>0.92</c:v>
                </c:pt>
                <c:pt idx="5">
                  <c:v>0.93</c:v>
                </c:pt>
                <c:pt idx="6">
                  <c:v>0.94</c:v>
                </c:pt>
                <c:pt idx="7">
                  <c:v>0.95</c:v>
                </c:pt>
                <c:pt idx="8">
                  <c:v>0.96</c:v>
                </c:pt>
              </c:numCache>
            </c:numRef>
          </c:xVal>
          <c:yVal>
            <c:numRef>
              <c:f>UAtank!$K$39:$K$47</c:f>
              <c:numCache>
                <c:formatCode>0.000</c:formatCode>
                <c:ptCount val="9"/>
                <c:pt idx="0">
                  <c:v>4.1294704277921355</c:v>
                </c:pt>
                <c:pt idx="1">
                  <c:v>3.4591018518518544</c:v>
                </c:pt>
                <c:pt idx="2">
                  <c:v>2.8185274348422511</c:v>
                </c:pt>
                <c:pt idx="3">
                  <c:v>2.5087991452991423</c:v>
                </c:pt>
                <c:pt idx="4">
                  <c:v>2.2058040794417595</c:v>
                </c:pt>
                <c:pt idx="5">
                  <c:v>1.9093250365060386</c:v>
                </c:pt>
                <c:pt idx="6">
                  <c:v>1.6191540583136326</c:v>
                </c:pt>
                <c:pt idx="7">
                  <c:v>1.3350919428200116</c:v>
                </c:pt>
                <c:pt idx="8">
                  <c:v>1.0569477880658456</c:v>
                </c:pt>
              </c:numCache>
            </c:numRef>
          </c:yVal>
          <c:smooth val="0"/>
        </c:ser>
        <c:ser>
          <c:idx val="1"/>
          <c:order val="1"/>
          <c:tx>
            <c:v>egUSA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1373622047244093"/>
                  <c:y val="-8.10265383493729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UAtank!$J$39:$J$47</c:f>
              <c:numCache>
                <c:formatCode>General</c:formatCode>
                <c:ptCount val="9"/>
                <c:pt idx="0">
                  <c:v>0.86</c:v>
                </c:pt>
                <c:pt idx="1">
                  <c:v>0.88</c:v>
                </c:pt>
                <c:pt idx="2">
                  <c:v>0.9</c:v>
                </c:pt>
                <c:pt idx="3">
                  <c:v>0.91</c:v>
                </c:pt>
                <c:pt idx="4">
                  <c:v>0.92</c:v>
                </c:pt>
                <c:pt idx="5">
                  <c:v>0.93</c:v>
                </c:pt>
                <c:pt idx="6">
                  <c:v>0.94</c:v>
                </c:pt>
                <c:pt idx="7">
                  <c:v>0.95</c:v>
                </c:pt>
                <c:pt idx="8">
                  <c:v>0.96</c:v>
                </c:pt>
              </c:numCache>
            </c:numRef>
          </c:xVal>
          <c:yVal>
            <c:numRef>
              <c:f>UAtank!$L$39:$L$47</c:f>
              <c:numCache>
                <c:formatCode>0.000</c:formatCode>
                <c:ptCount val="9"/>
                <c:pt idx="0">
                  <c:v>3.7762377557140043</c:v>
                </c:pt>
                <c:pt idx="1">
                  <c:v>3.0190153685855745</c:v>
                </c:pt>
                <c:pt idx="2">
                  <c:v>2.2954473097739609</c:v>
                </c:pt>
                <c:pt idx="3">
                  <c:v>1.9455902263925173</c:v>
                </c:pt>
                <c:pt idx="4">
                  <c:v>1.6033387317802423</c:v>
                </c:pt>
                <c:pt idx="5">
                  <c:v>1.2684474843639282</c:v>
                </c:pt>
                <c:pt idx="6">
                  <c:v>0.94068158263732427</c:v>
                </c:pt>
                <c:pt idx="7">
                  <c:v>0.61981601568390965</c:v>
                </c:pt>
                <c:pt idx="8">
                  <c:v>0.30563514804202935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796400"/>
        <c:axId val="1504794768"/>
      </c:scatterChart>
      <c:valAx>
        <c:axId val="1504796400"/>
        <c:scaling>
          <c:orientation val="minMax"/>
          <c:max val="0.96000000000000008"/>
          <c:min val="0.86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Energy Factor (EF)</a:t>
                </a:r>
              </a:p>
            </c:rich>
          </c:tx>
          <c:layout>
            <c:manualLayout>
              <c:xMode val="edge"/>
              <c:yMode val="edge"/>
              <c:x val="0.40279746281714784"/>
              <c:y val="0.9100462962962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4794768"/>
        <c:crosses val="autoZero"/>
        <c:crossBetween val="midCat"/>
        <c:majorUnit val="1.0000000000000002E-2"/>
      </c:valAx>
      <c:valAx>
        <c:axId val="15047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UAtank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7900845727617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4796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6743985126859149"/>
          <c:y val="0.13041593759113446"/>
          <c:w val="0.16033792650918635"/>
          <c:h val="0.1562510936132983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102937</xdr:colOff>
      <xdr:row>18</xdr:row>
      <xdr:rowOff>6685</xdr:rowOff>
    </xdr:from>
    <xdr:to>
      <xdr:col>5</xdr:col>
      <xdr:colOff>510674</xdr:colOff>
      <xdr:row>32</xdr:row>
      <xdr:rowOff>76201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615949</xdr:colOff>
      <xdr:row>18</xdr:row>
      <xdr:rowOff>6350</xdr:rowOff>
    </xdr:from>
    <xdr:to>
      <xdr:col>10</xdr:col>
      <xdr:colOff>311149</xdr:colOff>
      <xdr:row>32</xdr:row>
      <xdr:rowOff>75866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0.38403</cdr:x>
      <cdr:y>0.51505</cdr:y>
    </cdr:from>
    <cdr:to>
      <cdr:x>0.58403</cdr:x>
      <cdr:y>0.84838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55775" y="1412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32</xdr:row>
      <xdr:rowOff>95250</xdr:rowOff>
    </xdr:from>
    <xdr:to>
      <xdr:col>7</xdr:col>
      <xdr:colOff>444500</xdr:colOff>
      <xdr:row>47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546100</xdr:colOff>
      <xdr:row>32</xdr:row>
      <xdr:rowOff>101600</xdr:rowOff>
    </xdr:from>
    <xdr:to>
      <xdr:col>15</xdr:col>
      <xdr:colOff>234950</xdr:colOff>
      <xdr:row>47</xdr:row>
      <xdr:rowOff>82550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50800</xdr:colOff>
      <xdr:row>18</xdr:row>
      <xdr:rowOff>6350</xdr:rowOff>
    </xdr:from>
    <xdr:to>
      <xdr:col>37</xdr:col>
      <xdr:colOff>355600</xdr:colOff>
      <xdr:row>32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12700</xdr:colOff>
      <xdr:row>18</xdr:row>
      <xdr:rowOff>0</xdr:rowOff>
    </xdr:from>
    <xdr:to>
      <xdr:col>45</xdr:col>
      <xdr:colOff>317500</xdr:colOff>
      <xdr:row>32</xdr:row>
      <xdr:rowOff>165100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33</xdr:row>
      <xdr:rowOff>76200</xdr:rowOff>
    </xdr:from>
    <xdr:to>
      <xdr:col>37</xdr:col>
      <xdr:colOff>304800</xdr:colOff>
      <xdr:row>48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603250</xdr:colOff>
      <xdr:row>24</xdr:row>
      <xdr:rowOff>15875</xdr:rowOff>
    </xdr:from>
    <xdr:to>
      <xdr:col>21</xdr:col>
      <xdr:colOff>298450</xdr:colOff>
      <xdr:row>38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40</xdr:row>
      <xdr:rowOff>0</xdr:rowOff>
    </xdr:from>
    <xdr:to>
      <xdr:col>21</xdr:col>
      <xdr:colOff>304800</xdr:colOff>
      <xdr:row>54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20</xdr:row>
      <xdr:rowOff>1587</xdr:rowOff>
    </xdr:from>
    <xdr:to>
      <xdr:col>7</xdr:col>
      <xdr:colOff>119062</xdr:colOff>
      <xdr:row>34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7937</xdr:colOff>
      <xdr:row>20</xdr:row>
      <xdr:rowOff>7937</xdr:rowOff>
    </xdr:from>
    <xdr:to>
      <xdr:col>16</xdr:col>
      <xdr:colOff>147637</xdr:colOff>
      <xdr:row>34</xdr:row>
      <xdr:rowOff>173037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25</xdr:row>
      <xdr:rowOff>184149</xdr:rowOff>
    </xdr:from>
    <xdr:to>
      <xdr:col>7</xdr:col>
      <xdr:colOff>593724</xdr:colOff>
      <xdr:row>41</xdr:row>
      <xdr:rowOff>72389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295275</xdr:colOff>
      <xdr:row>26</xdr:row>
      <xdr:rowOff>9524</xdr:rowOff>
    </xdr:from>
    <xdr:to>
      <xdr:col>15</xdr:col>
      <xdr:colOff>422275</xdr:colOff>
      <xdr:row>41</xdr:row>
      <xdr:rowOff>81914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330199</xdr:colOff>
      <xdr:row>43</xdr:row>
      <xdr:rowOff>6349</xdr:rowOff>
    </xdr:from>
    <xdr:to>
      <xdr:col>7</xdr:col>
      <xdr:colOff>628649</xdr:colOff>
      <xdr:row>58</xdr:row>
      <xdr:rowOff>78739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276225</xdr:colOff>
      <xdr:row>43</xdr:row>
      <xdr:rowOff>6350</xdr:rowOff>
    </xdr:from>
    <xdr:to>
      <xdr:col>15</xdr:col>
      <xdr:colOff>403225</xdr:colOff>
      <xdr:row>58</xdr:row>
      <xdr:rowOff>78740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airey/Documents/resnet/Committees/SDC300/subcommittees/Calcs/pub002-xx/SimResults/L100Ax-HW-01_egUSA_hour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airey/Documents/FL-govt/FEO/2017/DHW/DHW_Florida_2017-02-06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luth"/>
      <sheetName val="Miami"/>
      <sheetName val="Miami_elec"/>
      <sheetName val="UAtank"/>
    </sheetNames>
    <sheetDataSet>
      <sheetData sheetId="0">
        <row r="1">
          <cell r="I1">
            <v>8.3409999999999993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 Water Calcs"/>
      <sheetName val="gpd"/>
      <sheetName val="Tmains"/>
      <sheetName val="HERS_change"/>
      <sheetName val="Worksheet"/>
      <sheetName val="Results"/>
      <sheetName val="nMEUL"/>
    </sheetNames>
    <sheetDataSet>
      <sheetData sheetId="0">
        <row r="32">
          <cell r="H3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zoomScale="90" zoomScaleNormal="90" workbookViewId="0">
      <selection sqref="A1:K1"/>
    </sheetView>
  </sheetViews>
  <sheetFormatPr defaultColWidth="9.109375" defaultRowHeight="14.4" x14ac:dyDescent="0.3"/>
  <cols>
    <col min="1" max="1" width="23.44140625" style="11" customWidth="1"/>
    <col min="2" max="2" width="11.5546875" style="11" customWidth="1"/>
    <col min="3" max="3" width="2.6640625" style="138" customWidth="1"/>
    <col min="4" max="4" width="8.21875" style="11" customWidth="1"/>
    <col min="5" max="7" width="13.6640625" style="11" customWidth="1"/>
    <col min="8" max="8" width="15.109375" style="11" customWidth="1"/>
    <col min="9" max="9" width="9.21875" style="11" customWidth="1"/>
    <col min="10" max="10" width="18.21875" style="11" customWidth="1"/>
    <col min="11" max="11" width="10.109375" style="11" customWidth="1"/>
    <col min="12" max="16" width="8.77734375" style="11" customWidth="1"/>
    <col min="17" max="17" width="33.6640625" style="11" customWidth="1"/>
    <col min="18" max="20" width="9.109375" style="11" customWidth="1"/>
    <col min="21" max="21" width="11.33203125" style="11" customWidth="1"/>
    <col min="22" max="26" width="9.109375" style="11" customWidth="1"/>
    <col min="27" max="27" width="9.109375" style="11"/>
    <col min="28" max="28" width="11.21875" style="11" customWidth="1"/>
    <col min="29" max="16384" width="9.109375" style="11"/>
  </cols>
  <sheetData>
    <row r="1" spans="1:31" ht="15" customHeight="1" x14ac:dyDescent="0.35">
      <c r="A1" s="336" t="s">
        <v>177</v>
      </c>
      <c r="B1" s="337"/>
      <c r="C1" s="337"/>
      <c r="D1" s="337"/>
      <c r="E1" s="337"/>
      <c r="F1" s="337"/>
      <c r="G1" s="337"/>
      <c r="H1" s="338"/>
      <c r="I1" s="338"/>
      <c r="J1" s="338"/>
      <c r="K1" s="339"/>
    </row>
    <row r="2" spans="1:31" ht="4.95" customHeight="1" thickBot="1" x14ac:dyDescent="0.35">
      <c r="A2" s="99"/>
      <c r="B2" s="100"/>
      <c r="C2" s="267"/>
      <c r="D2" s="100"/>
      <c r="E2" s="100"/>
      <c r="F2" s="100"/>
      <c r="G2" s="100"/>
      <c r="H2" s="101"/>
      <c r="I2" s="101"/>
      <c r="J2" s="101"/>
      <c r="K2" s="101"/>
    </row>
    <row r="3" spans="1:31" ht="15" customHeight="1" thickBot="1" x14ac:dyDescent="0.35">
      <c r="A3" s="334" t="s">
        <v>19</v>
      </c>
      <c r="B3" s="335"/>
      <c r="C3" s="268"/>
      <c r="D3" s="274" t="s">
        <v>94</v>
      </c>
      <c r="E3" s="290" t="s">
        <v>269</v>
      </c>
      <c r="F3" s="48" t="s">
        <v>272</v>
      </c>
      <c r="G3" s="49" t="s">
        <v>273</v>
      </c>
      <c r="H3" s="21" t="s">
        <v>90</v>
      </c>
      <c r="J3" s="21" t="s">
        <v>183</v>
      </c>
      <c r="K3" s="85"/>
      <c r="Q3" s="59" t="s">
        <v>86</v>
      </c>
      <c r="R3" s="84"/>
      <c r="U3" s="17" t="s">
        <v>265</v>
      </c>
      <c r="V3" s="286" t="s">
        <v>15</v>
      </c>
      <c r="X3" s="289" t="s">
        <v>149</v>
      </c>
      <c r="Y3" s="17"/>
      <c r="Z3" s="17" t="s">
        <v>267</v>
      </c>
      <c r="AB3" s="11" t="s">
        <v>133</v>
      </c>
      <c r="AC3" s="23" t="s">
        <v>18</v>
      </c>
      <c r="AD3" s="23" t="s">
        <v>136</v>
      </c>
      <c r="AE3" s="12" t="s">
        <v>138</v>
      </c>
    </row>
    <row r="4" spans="1:31" ht="15" customHeight="1" x14ac:dyDescent="0.3">
      <c r="A4" s="21" t="s">
        <v>135</v>
      </c>
      <c r="B4" s="227" t="s">
        <v>219</v>
      </c>
      <c r="C4" s="269"/>
      <c r="D4" s="275">
        <f>F4-G4</f>
        <v>-6.0081979629497226</v>
      </c>
      <c r="E4" s="279" t="s">
        <v>17</v>
      </c>
      <c r="F4" s="240">
        <f>'Monthly Calcs'!I16</f>
        <v>36.781591751614272</v>
      </c>
      <c r="G4" s="241">
        <f>'Monthly Calcs'!H16</f>
        <v>42.789789714563994</v>
      </c>
      <c r="H4" s="22" t="s">
        <v>102</v>
      </c>
      <c r="I4" s="227">
        <v>2000</v>
      </c>
      <c r="J4" s="22" t="s">
        <v>108</v>
      </c>
      <c r="K4" s="227" t="s">
        <v>21</v>
      </c>
      <c r="Q4" s="24" t="s">
        <v>3</v>
      </c>
      <c r="R4" s="30" t="s">
        <v>4</v>
      </c>
      <c r="U4" s="17" t="s">
        <v>266</v>
      </c>
      <c r="V4" s="286" t="s">
        <v>15</v>
      </c>
      <c r="W4" s="17" t="s">
        <v>263</v>
      </c>
      <c r="X4" s="287">
        <v>0.25</v>
      </c>
      <c r="Y4" s="104" t="s">
        <v>261</v>
      </c>
      <c r="Z4" s="12">
        <v>1</v>
      </c>
      <c r="AB4" s="11" t="s">
        <v>217</v>
      </c>
      <c r="AC4" s="23">
        <v>67.8</v>
      </c>
      <c r="AD4" s="124">
        <f>'HW%'!R8</f>
        <v>0.11314902225219151</v>
      </c>
      <c r="AE4" s="14"/>
    </row>
    <row r="5" spans="1:31" ht="15" customHeight="1" x14ac:dyDescent="0.35">
      <c r="A5" s="21" t="s">
        <v>189</v>
      </c>
      <c r="B5" s="227" t="s">
        <v>14</v>
      </c>
      <c r="C5" s="269"/>
      <c r="D5" s="273">
        <f t="shared" ref="D5:D9" si="0">F5-G5</f>
        <v>0</v>
      </c>
      <c r="E5" s="278" t="s">
        <v>68</v>
      </c>
      <c r="F5" s="242">
        <f>'Monthly Calcs'!M16</f>
        <v>25.572231550844592</v>
      </c>
      <c r="G5" s="231">
        <f>'Monthly Calcs'!L16</f>
        <v>25.572231550844592</v>
      </c>
      <c r="H5" s="22" t="s">
        <v>0</v>
      </c>
      <c r="I5" s="227">
        <v>3</v>
      </c>
      <c r="J5" s="22" t="s">
        <v>63</v>
      </c>
      <c r="K5" s="227" t="s">
        <v>27</v>
      </c>
      <c r="Q5" s="31" t="s">
        <v>15</v>
      </c>
      <c r="R5" s="32">
        <v>1</v>
      </c>
      <c r="W5" s="17" t="s">
        <v>264</v>
      </c>
      <c r="X5" s="287">
        <v>0</v>
      </c>
      <c r="Y5" s="104" t="s">
        <v>262</v>
      </c>
      <c r="Z5" s="12">
        <v>1</v>
      </c>
      <c r="AB5" s="11" t="s">
        <v>219</v>
      </c>
      <c r="AC5" s="23">
        <v>71.400000000000006</v>
      </c>
      <c r="AD5" s="124">
        <f>'HW%'!J8</f>
        <v>0.10178853235139401</v>
      </c>
      <c r="AE5" s="14"/>
    </row>
    <row r="6" spans="1:31" ht="15" customHeight="1" x14ac:dyDescent="0.35">
      <c r="A6" s="21" t="s">
        <v>124</v>
      </c>
      <c r="B6" s="227" t="s">
        <v>87</v>
      </c>
      <c r="C6" s="269"/>
      <c r="D6" s="273">
        <f t="shared" si="0"/>
        <v>1.8459931181213918E-4</v>
      </c>
      <c r="E6" s="278" t="s">
        <v>195</v>
      </c>
      <c r="F6" s="242">
        <f>'Monthly Calcs'!U16</f>
        <v>3.8887507850298402</v>
      </c>
      <c r="G6" s="231">
        <f>'Monthly Calcs'!T16</f>
        <v>3.888566185718028</v>
      </c>
      <c r="H6" s="22" t="s">
        <v>129</v>
      </c>
      <c r="I6" s="227">
        <v>1</v>
      </c>
      <c r="J6" s="22" t="s">
        <v>161</v>
      </c>
      <c r="K6" s="228">
        <v>0.54</v>
      </c>
      <c r="Q6" s="31" t="s">
        <v>16</v>
      </c>
      <c r="R6" s="32">
        <v>0.95</v>
      </c>
      <c r="W6" s="17" t="s">
        <v>184</v>
      </c>
      <c r="X6" s="288">
        <v>1</v>
      </c>
      <c r="AB6" s="11" t="s">
        <v>28</v>
      </c>
      <c r="AC6" s="23">
        <v>76.099999999999994</v>
      </c>
      <c r="AD6" s="124">
        <f>'HW%'!B8</f>
        <v>7.2871496562665256E-2</v>
      </c>
    </row>
    <row r="7" spans="1:31" ht="15" customHeight="1" x14ac:dyDescent="0.3">
      <c r="A7" s="21" t="s">
        <v>105</v>
      </c>
      <c r="B7" s="227" t="s">
        <v>15</v>
      </c>
      <c r="C7" s="269"/>
      <c r="D7" s="273">
        <f t="shared" si="0"/>
        <v>3.7952948183317403E-4</v>
      </c>
      <c r="E7" s="278" t="s">
        <v>196</v>
      </c>
      <c r="F7" s="242">
        <f>'Monthly Calcs'!W16</f>
        <v>4.317354871947586</v>
      </c>
      <c r="G7" s="231">
        <f>'Monthly Calcs'!V16</f>
        <v>4.3169753424657529</v>
      </c>
      <c r="H7" s="22" t="s">
        <v>103</v>
      </c>
      <c r="I7" s="227">
        <v>0</v>
      </c>
      <c r="J7" s="133" t="s">
        <v>160</v>
      </c>
      <c r="K7" s="136">
        <f>IF($B$12="yes",Ifrac*(DWHRinT-Tmains)*DWHReff*PLC*LocF*FixF,0)</f>
        <v>0</v>
      </c>
      <c r="Q7" s="15"/>
      <c r="R7" s="16"/>
    </row>
    <row r="8" spans="1:31" ht="15" customHeight="1" x14ac:dyDescent="0.3">
      <c r="A8" s="21" t="s">
        <v>125</v>
      </c>
      <c r="B8" s="225">
        <f>refPipeL*B13</f>
        <v>99.442719099991592</v>
      </c>
      <c r="C8" s="270"/>
      <c r="D8" s="273">
        <f t="shared" si="0"/>
        <v>-6.0087620917433755</v>
      </c>
      <c r="E8" s="280" t="s">
        <v>142</v>
      </c>
      <c r="F8" s="243">
        <f>'Monthly Calcs'!O16</f>
        <v>0.75025038490834073</v>
      </c>
      <c r="G8" s="244">
        <f>'Monthly Calcs'!N16</f>
        <v>6.7590124766517166</v>
      </c>
      <c r="H8" s="22" t="s">
        <v>1</v>
      </c>
      <c r="I8" s="227">
        <v>1</v>
      </c>
      <c r="J8" s="133" t="s">
        <v>73</v>
      </c>
      <c r="K8" s="135">
        <f>'Monthly Calcs'!E16</f>
        <v>77.536684931506855</v>
      </c>
      <c r="Q8" s="25" t="s">
        <v>123</v>
      </c>
      <c r="U8" s="20" t="s">
        <v>101</v>
      </c>
      <c r="AB8" s="11" t="s">
        <v>218</v>
      </c>
      <c r="AC8" s="23">
        <v>66.8</v>
      </c>
      <c r="AD8" s="124">
        <f>'HW%'!V8</f>
        <v>0.11459863763857352</v>
      </c>
    </row>
    <row r="9" spans="1:31" ht="15" customHeight="1" x14ac:dyDescent="0.3">
      <c r="A9" s="21" t="s">
        <v>126</v>
      </c>
      <c r="B9" s="225">
        <f>refLoopL*B13</f>
        <v>178.88543819998318</v>
      </c>
      <c r="C9" s="270"/>
      <c r="D9" s="273">
        <f t="shared" si="0"/>
        <v>0</v>
      </c>
      <c r="E9" s="278" t="s">
        <v>146</v>
      </c>
      <c r="F9" s="243">
        <f>'Monthly Calcs'!Q16</f>
        <v>2.2530041588839054</v>
      </c>
      <c r="G9" s="231">
        <f>'Monthly Calcs'!P16</f>
        <v>2.2530041588839054</v>
      </c>
      <c r="H9" s="21" t="s">
        <v>178</v>
      </c>
      <c r="Q9" s="122" t="s">
        <v>121</v>
      </c>
      <c r="R9" s="123" t="s">
        <v>122</v>
      </c>
      <c r="S9" s="123" t="s">
        <v>119</v>
      </c>
      <c r="U9" s="95" t="s">
        <v>100</v>
      </c>
      <c r="V9" s="95" t="s">
        <v>99</v>
      </c>
      <c r="W9" s="111" t="s">
        <v>118</v>
      </c>
      <c r="X9" s="95" t="s">
        <v>24</v>
      </c>
      <c r="Y9" s="97" t="s">
        <v>98</v>
      </c>
      <c r="Z9" s="96" t="s">
        <v>97</v>
      </c>
      <c r="AB9" s="11" t="s">
        <v>224</v>
      </c>
      <c r="AC9" s="23">
        <v>70.3</v>
      </c>
      <c r="AD9" s="124">
        <f>'HW%'!N8</f>
        <v>0.10637727759914256</v>
      </c>
    </row>
    <row r="10" spans="1:31" ht="15" customHeight="1" x14ac:dyDescent="0.35">
      <c r="A10" s="21" t="s">
        <v>127</v>
      </c>
      <c r="B10" s="225">
        <f>10*B13</f>
        <v>10</v>
      </c>
      <c r="C10" s="269"/>
      <c r="D10" s="273"/>
      <c r="E10" s="278" t="s">
        <v>226</v>
      </c>
      <c r="F10" s="243">
        <f>VLOOKUP($B$5,$Q$19:$R$23,2,0)</f>
        <v>0.1</v>
      </c>
      <c r="G10" s="244">
        <v>1</v>
      </c>
      <c r="H10" s="22" t="s">
        <v>181</v>
      </c>
      <c r="I10" s="227" t="s">
        <v>26</v>
      </c>
      <c r="J10" s="133" t="s">
        <v>104</v>
      </c>
      <c r="K10" s="165">
        <f>IF($I$37="yes",IF($I$10="gas",ratedEFg*0.92,ratedEFe),IF($I$10="gas",0.62,0.948))</f>
        <v>0.94799999999999995</v>
      </c>
      <c r="Q10" s="114" t="s">
        <v>15</v>
      </c>
      <c r="R10" s="121">
        <v>1</v>
      </c>
      <c r="S10" s="121">
        <v>0.9</v>
      </c>
      <c r="U10" s="23" t="s">
        <v>15</v>
      </c>
      <c r="V10" s="23" t="s">
        <v>15</v>
      </c>
      <c r="W10" s="23" t="s">
        <v>87</v>
      </c>
      <c r="X10" s="23" t="s">
        <v>25</v>
      </c>
      <c r="Y10" s="23" t="s">
        <v>23</v>
      </c>
      <c r="Z10" s="86" t="s">
        <v>21</v>
      </c>
      <c r="AB10" s="11" t="s">
        <v>223</v>
      </c>
      <c r="AC10" s="23">
        <v>72.099999999999994</v>
      </c>
      <c r="AD10" s="124">
        <f>'HW%'!F8</f>
        <v>9.2782248232138514E-2</v>
      </c>
    </row>
    <row r="11" spans="1:31" ht="15" customHeight="1" x14ac:dyDescent="0.35">
      <c r="A11" s="21" t="s">
        <v>128</v>
      </c>
      <c r="B11" s="225">
        <f>50*B13</f>
        <v>50</v>
      </c>
      <c r="C11" s="269"/>
      <c r="D11" s="276"/>
      <c r="E11" s="281" t="s">
        <v>227</v>
      </c>
      <c r="F11" s="230">
        <f>oEWfact*(1-oCDeff)+sEWfact*pRatio</f>
        <v>43.2</v>
      </c>
      <c r="G11" s="231">
        <v>32</v>
      </c>
      <c r="J11" s="133" t="s">
        <v>72</v>
      </c>
      <c r="K11" s="134">
        <f>'Monthly Calcs'!C16</f>
        <v>77.536684931506855</v>
      </c>
      <c r="Q11" s="28" t="s">
        <v>11</v>
      </c>
      <c r="R11" s="121">
        <v>1.1100000000000001</v>
      </c>
      <c r="S11" s="121">
        <v>1</v>
      </c>
      <c r="U11" s="23" t="s">
        <v>11</v>
      </c>
      <c r="V11" s="23" t="s">
        <v>110</v>
      </c>
      <c r="W11" s="112" t="s">
        <v>119</v>
      </c>
      <c r="X11" s="23" t="s">
        <v>26</v>
      </c>
      <c r="Y11" s="23" t="s">
        <v>27</v>
      </c>
      <c r="Z11" s="86" t="s">
        <v>22</v>
      </c>
    </row>
    <row r="12" spans="1:31" ht="15" customHeight="1" thickBot="1" x14ac:dyDescent="0.4">
      <c r="A12" s="21" t="s">
        <v>157</v>
      </c>
      <c r="B12" s="227" t="s">
        <v>23</v>
      </c>
      <c r="C12" s="269"/>
      <c r="D12" s="277"/>
      <c r="E12" s="278" t="s">
        <v>228</v>
      </c>
      <c r="F12" s="329">
        <f>(Ewaste+128)/160</f>
        <v>1.0699999999999998</v>
      </c>
      <c r="G12" s="324">
        <v>1</v>
      </c>
      <c r="Q12" s="28" t="s">
        <v>12</v>
      </c>
      <c r="R12" s="121">
        <v>1.1100000000000001</v>
      </c>
      <c r="S12" s="121">
        <v>1</v>
      </c>
      <c r="T12" s="117"/>
      <c r="U12" s="23" t="s">
        <v>12</v>
      </c>
      <c r="V12" s="23"/>
      <c r="X12" s="23"/>
      <c r="Z12" s="12"/>
    </row>
    <row r="13" spans="1:31" ht="15" customHeight="1" x14ac:dyDescent="0.3">
      <c r="A13" s="158" t="s">
        <v>351</v>
      </c>
      <c r="B13" s="305">
        <v>1</v>
      </c>
      <c r="C13" s="215"/>
      <c r="D13" s="284" t="s">
        <v>260</v>
      </c>
      <c r="E13" s="282" t="str">
        <f>IF(I10=X10,"therms/y","kWh/y")</f>
        <v>kWh/y</v>
      </c>
      <c r="F13" s="238">
        <f>'Monthly Calcs'!AH16</f>
        <v>1736.106494795454</v>
      </c>
      <c r="G13" s="239">
        <f>'Monthly Calcs'!AF16</f>
        <v>1878.819562329719</v>
      </c>
      <c r="Q13" s="28" t="s">
        <v>13</v>
      </c>
      <c r="R13" s="121">
        <v>1.1100000000000001</v>
      </c>
      <c r="S13" s="121">
        <v>1</v>
      </c>
      <c r="U13" s="23" t="s">
        <v>13</v>
      </c>
      <c r="V13" s="23"/>
      <c r="X13" s="23"/>
    </row>
    <row r="14" spans="1:31" ht="15" customHeight="1" thickBot="1" x14ac:dyDescent="0.35">
      <c r="B14" s="17"/>
      <c r="C14" s="139"/>
      <c r="D14" s="285">
        <f>IF(I10="gas",(EC_x-EC_r)/(10/g_mult)-pumpkWh_y/(293.08/e_mult),(EC_x-EC_r+pumpkWh_y)/(293.08/e_mult))</f>
        <v>-0.46988217392611259</v>
      </c>
      <c r="E14" s="283" t="s">
        <v>20</v>
      </c>
      <c r="F14" s="259">
        <f>IF($B$5=$U$10,0,VLOOKUP($B$5,$Q$33:$R$37,2,0))*pumpW</f>
        <v>5</v>
      </c>
      <c r="G14" s="260">
        <v>0</v>
      </c>
      <c r="Q14" s="28" t="s">
        <v>14</v>
      </c>
      <c r="R14" s="121">
        <v>1.1100000000000001</v>
      </c>
      <c r="S14" s="121">
        <v>1</v>
      </c>
      <c r="U14" s="23" t="s">
        <v>14</v>
      </c>
      <c r="V14" s="23"/>
      <c r="X14" s="23"/>
      <c r="Y14" s="17"/>
      <c r="Z14" s="23"/>
    </row>
    <row r="15" spans="1:31" ht="15" customHeight="1" x14ac:dyDescent="0.3">
      <c r="A15" s="133" t="s">
        <v>158</v>
      </c>
      <c r="B15" s="212">
        <f xml:space="preserve"> 2*(CFA/Nfl)^0.5+10*Nfl+5*Bsmt</f>
        <v>99.442719099991592</v>
      </c>
      <c r="C15" s="271"/>
      <c r="E15" s="261" t="s">
        <v>256</v>
      </c>
      <c r="F15" s="262">
        <f>-(refHWgpd-HWgpd)/refHWgpd</f>
        <v>-0.14041195348302363</v>
      </c>
      <c r="G15" s="296" t="s">
        <v>274</v>
      </c>
      <c r="H15" s="295" t="s">
        <v>255</v>
      </c>
      <c r="V15" s="23"/>
      <c r="Y15" s="17"/>
      <c r="Z15" s="23"/>
    </row>
    <row r="16" spans="1:31" ht="15" customHeight="1" x14ac:dyDescent="0.3">
      <c r="A16" s="133" t="s">
        <v>159</v>
      </c>
      <c r="B16" s="212">
        <f>2*refPipeL-20</f>
        <v>178.88543819998318</v>
      </c>
      <c r="C16" s="271"/>
      <c r="E16" s="263" t="s">
        <v>268</v>
      </c>
      <c r="F16" s="264">
        <f>-nMEUL!C5</f>
        <v>-7.3044630174725289E-2</v>
      </c>
      <c r="G16" s="297" t="s">
        <v>274</v>
      </c>
      <c r="H16" s="295" t="s">
        <v>258</v>
      </c>
      <c r="L16" s="13"/>
      <c r="M16" s="13"/>
      <c r="N16" s="13"/>
      <c r="O16" s="13"/>
      <c r="P16" s="13"/>
      <c r="Q16" s="25" t="s">
        <v>64</v>
      </c>
      <c r="R16" s="25"/>
      <c r="S16" s="116"/>
      <c r="T16" s="118"/>
      <c r="U16" s="95" t="s">
        <v>153</v>
      </c>
      <c r="V16" s="145" t="s">
        <v>2</v>
      </c>
      <c r="W16" s="145" t="s">
        <v>8</v>
      </c>
      <c r="X16" s="145" t="s">
        <v>155</v>
      </c>
      <c r="Y16" s="145" t="s">
        <v>156</v>
      </c>
      <c r="Z16" s="146" t="s">
        <v>9</v>
      </c>
      <c r="AA16" s="17"/>
    </row>
    <row r="17" spans="1:26" ht="15" customHeight="1" thickBot="1" x14ac:dyDescent="0.35">
      <c r="A17" s="133" t="s">
        <v>254</v>
      </c>
      <c r="B17" s="137">
        <f>VLOOKUP(B4,AB4:AD6,3,FALSE)</f>
        <v>0.10178853235139401</v>
      </c>
      <c r="C17" s="272"/>
      <c r="E17" s="265" t="s">
        <v>257</v>
      </c>
      <c r="F17" s="266">
        <f>HW_Climate_factor*(eRatio-1)*100</f>
        <v>-0.7435105701635637</v>
      </c>
      <c r="G17" s="298" t="s">
        <v>274</v>
      </c>
      <c r="H17" s="295" t="s">
        <v>259</v>
      </c>
      <c r="L17" s="13"/>
      <c r="M17" s="13"/>
      <c r="N17" s="13"/>
      <c r="O17" s="13"/>
      <c r="P17" s="13"/>
      <c r="Q17" s="25"/>
      <c r="R17" s="25"/>
      <c r="S17" s="116"/>
      <c r="T17" s="118"/>
      <c r="U17" s="23" t="s">
        <v>15</v>
      </c>
      <c r="V17" s="1">
        <v>2.8740000000000001</v>
      </c>
      <c r="W17" s="1">
        <v>704</v>
      </c>
      <c r="X17" s="1">
        <v>8.0299999999999996E-2</v>
      </c>
      <c r="Y17" s="1">
        <v>0.57999999999999996</v>
      </c>
      <c r="Z17" s="1">
        <v>23</v>
      </c>
    </row>
    <row r="18" spans="1:26" ht="4.95" customHeight="1" x14ac:dyDescent="0.3">
      <c r="Q18" s="26" t="s">
        <v>5</v>
      </c>
      <c r="R18" s="27" t="s">
        <v>87</v>
      </c>
      <c r="S18" s="54"/>
      <c r="T18" s="118"/>
      <c r="U18" s="144" t="s">
        <v>152</v>
      </c>
      <c r="V18" s="1">
        <v>3.2</v>
      </c>
      <c r="W18" s="1">
        <v>487</v>
      </c>
      <c r="X18" s="1">
        <v>8.0299999999999996E-2</v>
      </c>
      <c r="Y18" s="1">
        <v>0.68799999999999994</v>
      </c>
      <c r="Z18" s="1">
        <v>23</v>
      </c>
    </row>
    <row r="19" spans="1:26" ht="15.75" customHeight="1" x14ac:dyDescent="0.3">
      <c r="Q19" s="28" t="s">
        <v>120</v>
      </c>
      <c r="R19" s="29">
        <v>1</v>
      </c>
      <c r="S19" s="54"/>
      <c r="T19" s="87"/>
      <c r="U19" s="23" t="s">
        <v>150</v>
      </c>
      <c r="V19" s="1">
        <v>3.5</v>
      </c>
      <c r="W19" s="1">
        <v>281</v>
      </c>
      <c r="X19" s="1">
        <v>8.5999999999999993E-2</v>
      </c>
      <c r="Y19" s="1">
        <v>0.91</v>
      </c>
      <c r="Z19" s="1">
        <v>14</v>
      </c>
    </row>
    <row r="20" spans="1:26" ht="15.75" customHeight="1" x14ac:dyDescent="0.3">
      <c r="F20" s="68"/>
      <c r="G20" s="20"/>
      <c r="Q20" s="28" t="s">
        <v>11</v>
      </c>
      <c r="R20" s="160">
        <v>0.1</v>
      </c>
      <c r="S20" s="55"/>
      <c r="T20" s="87"/>
      <c r="U20" s="23" t="s">
        <v>151</v>
      </c>
      <c r="V20" s="1">
        <v>3.31</v>
      </c>
      <c r="W20" s="1">
        <v>151</v>
      </c>
      <c r="X20" s="1">
        <v>0.1065</v>
      </c>
      <c r="Y20" s="1">
        <v>1.218</v>
      </c>
      <c r="Z20" s="1">
        <v>12</v>
      </c>
    </row>
    <row r="21" spans="1:26" ht="15.75" customHeight="1" x14ac:dyDescent="0.3">
      <c r="E21" s="246"/>
      <c r="Q21" s="28" t="s">
        <v>12</v>
      </c>
      <c r="R21" s="29">
        <f>R20</f>
        <v>0.1</v>
      </c>
      <c r="S21" s="55"/>
      <c r="T21" s="87"/>
      <c r="U21" s="23"/>
    </row>
    <row r="22" spans="1:26" ht="15.75" customHeight="1" x14ac:dyDescent="0.3">
      <c r="Q22" s="28" t="s">
        <v>13</v>
      </c>
      <c r="R22" s="29">
        <f>R20</f>
        <v>0.1</v>
      </c>
      <c r="S22" s="55"/>
      <c r="T22" s="87"/>
      <c r="U22" s="95" t="s">
        <v>154</v>
      </c>
      <c r="V22" s="145" t="s">
        <v>7</v>
      </c>
      <c r="W22" s="145" t="s">
        <v>95</v>
      </c>
    </row>
    <row r="23" spans="1:26" ht="15.75" customHeight="1" x14ac:dyDescent="0.3">
      <c r="Q23" s="28" t="s">
        <v>14</v>
      </c>
      <c r="R23" s="29">
        <f>R20</f>
        <v>0.1</v>
      </c>
      <c r="S23" s="87"/>
      <c r="U23" s="23" t="s">
        <v>15</v>
      </c>
      <c r="V23" s="11">
        <v>12</v>
      </c>
      <c r="W23" s="11">
        <v>0.46</v>
      </c>
    </row>
    <row r="24" spans="1:26" ht="15.75" customHeight="1" x14ac:dyDescent="0.3">
      <c r="Q24" s="15"/>
      <c r="R24" s="16"/>
      <c r="U24" s="23" t="s">
        <v>150</v>
      </c>
      <c r="V24" s="11">
        <v>12</v>
      </c>
      <c r="W24" s="11">
        <v>0.73</v>
      </c>
    </row>
    <row r="25" spans="1:26" ht="15.75" customHeight="1" x14ac:dyDescent="0.3">
      <c r="Q25" s="143" t="s">
        <v>84</v>
      </c>
      <c r="R25" s="10"/>
      <c r="U25" s="23" t="s">
        <v>151</v>
      </c>
      <c r="V25" s="11">
        <v>12</v>
      </c>
      <c r="W25" s="11">
        <v>1.1200000000000001</v>
      </c>
    </row>
    <row r="26" spans="1:26" ht="15.75" customHeight="1" x14ac:dyDescent="0.3">
      <c r="Q26" s="28" t="s">
        <v>109</v>
      </c>
      <c r="R26" s="88" t="s">
        <v>53</v>
      </c>
    </row>
    <row r="27" spans="1:26" x14ac:dyDescent="0.3">
      <c r="Q27" s="90" t="s">
        <v>93</v>
      </c>
      <c r="R27" s="91">
        <v>1</v>
      </c>
    </row>
    <row r="28" spans="1:26" x14ac:dyDescent="0.3">
      <c r="Q28" s="90" t="s">
        <v>92</v>
      </c>
      <c r="R28" s="91">
        <v>0.77700000000000002</v>
      </c>
    </row>
    <row r="29" spans="1:26" x14ac:dyDescent="0.3">
      <c r="Q29" s="90" t="s">
        <v>91</v>
      </c>
      <c r="R29" s="91">
        <v>0.77700000000000002</v>
      </c>
    </row>
    <row r="30" spans="1:26" x14ac:dyDescent="0.3">
      <c r="U30" s="19"/>
    </row>
    <row r="31" spans="1:26" x14ac:dyDescent="0.3">
      <c r="Q31" s="18" t="s">
        <v>65</v>
      </c>
      <c r="V31" s="93"/>
      <c r="W31" s="105"/>
    </row>
    <row r="32" spans="1:26" x14ac:dyDescent="0.3">
      <c r="Q32" s="24" t="s">
        <v>6</v>
      </c>
      <c r="R32" s="27" t="s">
        <v>10</v>
      </c>
      <c r="S32" s="17"/>
      <c r="T32" s="17"/>
      <c r="V32" s="93"/>
      <c r="W32" s="94"/>
    </row>
    <row r="33" spans="1:23" x14ac:dyDescent="0.3">
      <c r="Q33" s="31" t="s">
        <v>11</v>
      </c>
      <c r="R33" s="88">
        <v>8.76</v>
      </c>
      <c r="W33" s="104"/>
    </row>
    <row r="34" spans="1:23" x14ac:dyDescent="0.3">
      <c r="Q34" s="31" t="s">
        <v>12</v>
      </c>
      <c r="R34" s="88">
        <v>1.46</v>
      </c>
      <c r="W34" s="104"/>
    </row>
    <row r="35" spans="1:23" x14ac:dyDescent="0.3">
      <c r="H35" s="22" t="s">
        <v>179</v>
      </c>
      <c r="I35" s="225">
        <v>0.83</v>
      </c>
      <c r="K35" s="138"/>
      <c r="Q35" s="31" t="s">
        <v>13</v>
      </c>
      <c r="R35" s="88">
        <v>0.15</v>
      </c>
      <c r="T35" s="13"/>
      <c r="W35" s="104"/>
    </row>
    <row r="36" spans="1:23" x14ac:dyDescent="0.3">
      <c r="H36" s="22" t="s">
        <v>180</v>
      </c>
      <c r="I36" s="225">
        <v>1.7</v>
      </c>
      <c r="K36" s="138"/>
      <c r="Q36" s="31"/>
      <c r="R36" s="88"/>
      <c r="T36" s="13"/>
      <c r="W36" s="104"/>
    </row>
    <row r="37" spans="1:23" x14ac:dyDescent="0.3">
      <c r="H37" s="98" t="s">
        <v>106</v>
      </c>
      <c r="I37" s="226" t="s">
        <v>23</v>
      </c>
      <c r="Q37" s="31" t="s">
        <v>14</v>
      </c>
      <c r="R37" s="163">
        <v>0.1</v>
      </c>
      <c r="T37" s="13"/>
      <c r="W37" s="104"/>
    </row>
    <row r="38" spans="1:23" x14ac:dyDescent="0.3">
      <c r="A38" s="92" t="s">
        <v>96</v>
      </c>
      <c r="F38" s="72"/>
      <c r="G38" s="213"/>
      <c r="W38" s="104"/>
    </row>
    <row r="39" spans="1:23" x14ac:dyDescent="0.3">
      <c r="A39" s="12" t="s">
        <v>162</v>
      </c>
      <c r="B39" s="17"/>
      <c r="C39" s="139"/>
      <c r="D39" s="17"/>
      <c r="E39" s="12" t="s">
        <v>164</v>
      </c>
      <c r="H39" s="12" t="s">
        <v>163</v>
      </c>
      <c r="Q39" s="82" t="s">
        <v>85</v>
      </c>
      <c r="T39" s="119"/>
      <c r="W39" s="104"/>
    </row>
    <row r="40" spans="1:23" ht="15.6" x14ac:dyDescent="0.35">
      <c r="A40" s="17" t="s">
        <v>168</v>
      </c>
      <c r="B40" s="153">
        <f>VLOOKUP($V$3,$U$17:$Z$20,2,0)</f>
        <v>2.8740000000000001</v>
      </c>
      <c r="C40" s="153"/>
      <c r="E40" s="17" t="s">
        <v>134</v>
      </c>
      <c r="F40" s="147">
        <f>VLOOKUP(B4,$AB$4:$AD$7,2,0)</f>
        <v>71.400000000000006</v>
      </c>
      <c r="H40" s="17" t="s">
        <v>176</v>
      </c>
      <c r="I40" s="132">
        <f>IF($B$7="std",$K$6,$K$6*1.082)</f>
        <v>0.54</v>
      </c>
      <c r="Q40" s="26" t="s">
        <v>5</v>
      </c>
      <c r="R40" s="56" t="s">
        <v>87</v>
      </c>
      <c r="S40" s="113" t="s">
        <v>119</v>
      </c>
      <c r="T40" s="87"/>
    </row>
    <row r="41" spans="1:23" x14ac:dyDescent="0.3">
      <c r="A41" s="17" t="s">
        <v>167</v>
      </c>
      <c r="B41" s="153">
        <f>VLOOKUP($V$3,$U$17:$Z$20,3,0)</f>
        <v>704</v>
      </c>
      <c r="C41" s="153"/>
      <c r="E41" s="17" t="s">
        <v>144</v>
      </c>
      <c r="F41" s="148">
        <v>125</v>
      </c>
      <c r="G41" s="35"/>
      <c r="H41" s="17" t="s">
        <v>80</v>
      </c>
      <c r="I41" s="11">
        <f>Tuse-8</f>
        <v>97</v>
      </c>
      <c r="Q41" s="57" t="s">
        <v>15</v>
      </c>
      <c r="R41" s="103">
        <v>32</v>
      </c>
      <c r="S41" s="115">
        <v>28.8</v>
      </c>
      <c r="T41" s="120"/>
    </row>
    <row r="42" spans="1:23" x14ac:dyDescent="0.3">
      <c r="A42" s="17" t="s">
        <v>169</v>
      </c>
      <c r="B42" s="153">
        <f>VLOOKUP($V$3,$U$17:$Z$20,4,0)</f>
        <v>8.0299999999999996E-2</v>
      </c>
      <c r="C42" s="153"/>
      <c r="E42" s="17" t="s">
        <v>145</v>
      </c>
      <c r="F42" s="148">
        <v>105</v>
      </c>
      <c r="H42" s="17" t="s">
        <v>83</v>
      </c>
      <c r="I42" s="81">
        <f>0.56 + 0.015*Nbr - 0.0004*Nbr^2</f>
        <v>0.60140000000000005</v>
      </c>
      <c r="J42" s="156" t="s">
        <v>191</v>
      </c>
      <c r="Q42" s="58" t="s">
        <v>11</v>
      </c>
      <c r="R42" s="115">
        <f>S42*2</f>
        <v>500</v>
      </c>
      <c r="S42" s="164">
        <v>250</v>
      </c>
      <c r="T42" s="120"/>
      <c r="V42" s="161"/>
    </row>
    <row r="43" spans="1:23" ht="15.6" x14ac:dyDescent="0.35">
      <c r="A43" s="17" t="s">
        <v>170</v>
      </c>
      <c r="B43" s="153">
        <f>VLOOKUP($V$3,$U$17:$Z$20,5,0)</f>
        <v>0.57999999999999996</v>
      </c>
      <c r="C43" s="153"/>
      <c r="E43" s="17" t="s">
        <v>117</v>
      </c>
      <c r="F43" s="149">
        <f>IF($B$7="std",$R$5,$R$6)</f>
        <v>1</v>
      </c>
      <c r="H43" s="17" t="s">
        <v>60</v>
      </c>
      <c r="I43" s="34">
        <f>IF($K$5=$Y$11,1,0.777)</f>
        <v>1</v>
      </c>
      <c r="J43" s="12"/>
      <c r="Q43" s="58" t="s">
        <v>12</v>
      </c>
      <c r="R43" s="115">
        <f t="shared" ref="R43" si="1">S43*2</f>
        <v>375</v>
      </c>
      <c r="S43" s="164">
        <v>187.5</v>
      </c>
      <c r="T43" s="120"/>
      <c r="U43" s="162"/>
    </row>
    <row r="44" spans="1:23" ht="15.6" x14ac:dyDescent="0.35">
      <c r="A44" s="17" t="s">
        <v>171</v>
      </c>
      <c r="B44" s="153">
        <f>VLOOKUP($V$3,$U$17:$Z$20,6,0)</f>
        <v>23</v>
      </c>
      <c r="C44" s="153"/>
      <c r="E44" s="17" t="s">
        <v>115</v>
      </c>
      <c r="F44" s="150">
        <f xml:space="preserve"> 1-((Tset-Tuse)/(Tset-(Tmains)))</f>
        <v>0.57862193209348123</v>
      </c>
      <c r="H44" s="17" t="s">
        <v>59</v>
      </c>
      <c r="I44" s="72">
        <f>IF($K$4=$Z$10,1,0.5)</f>
        <v>1</v>
      </c>
      <c r="J44" s="12"/>
      <c r="Q44" s="58" t="s">
        <v>13</v>
      </c>
      <c r="R44" s="115">
        <f>S44*1.5</f>
        <v>64.800000000000011</v>
      </c>
      <c r="S44" s="164">
        <v>43.2</v>
      </c>
      <c r="T44" s="120"/>
    </row>
    <row r="45" spans="1:23" ht="15.6" x14ac:dyDescent="0.35">
      <c r="A45" s="17" t="s">
        <v>172</v>
      </c>
      <c r="B45" s="154">
        <f xml:space="preserve"> (3/2.874)*(164+Nbr*46.5)</f>
        <v>316.80584551148223</v>
      </c>
      <c r="C45" s="154"/>
      <c r="D45" s="83"/>
      <c r="E45" s="17" t="s">
        <v>116</v>
      </c>
      <c r="F45" s="151">
        <f xml:space="preserve"> 1-((Tset-Tuse)/(Tset-Tmains-WHinTadj))</f>
        <v>0.57862193209348123</v>
      </c>
      <c r="H45" s="17" t="s">
        <v>61</v>
      </c>
      <c r="I45" s="14">
        <f>1-PLCfact*pLength</f>
        <v>0.998</v>
      </c>
      <c r="J45" s="12"/>
      <c r="Q45" s="58" t="s">
        <v>14</v>
      </c>
      <c r="R45" s="115">
        <f>S45*1.5</f>
        <v>43.2</v>
      </c>
      <c r="S45" s="164">
        <v>28.8</v>
      </c>
      <c r="T45" s="159"/>
    </row>
    <row r="46" spans="1:23" x14ac:dyDescent="0.3">
      <c r="A46" s="17" t="s">
        <v>173</v>
      </c>
      <c r="B46" s="155">
        <f xml:space="preserve"> NCY*(3*2.08+1.59)/(CAPw*2.08+1.59)</f>
        <v>327.77695461301198</v>
      </c>
      <c r="C46" s="155"/>
      <c r="D46" s="83"/>
      <c r="E46" s="139" t="s">
        <v>141</v>
      </c>
      <c r="F46" s="152">
        <f xml:space="preserve"> 9.8*Nbr^0.43</f>
        <v>15.717671770088979</v>
      </c>
      <c r="G46" s="142"/>
      <c r="H46" s="17" t="s">
        <v>62</v>
      </c>
      <c r="I46" s="11">
        <v>2.0000000000000001E-4</v>
      </c>
      <c r="J46" s="12" t="s">
        <v>192</v>
      </c>
    </row>
    <row r="47" spans="1:23" x14ac:dyDescent="0.3">
      <c r="A47" s="17" t="s">
        <v>174</v>
      </c>
      <c r="B47" s="153">
        <f>VLOOKUP($V$4,$U$23:$W$25,2,0)</f>
        <v>12</v>
      </c>
      <c r="C47" s="153"/>
      <c r="E47" s="139" t="s">
        <v>143</v>
      </c>
      <c r="F47" s="152">
        <f>14.6 + 10*Nbr</f>
        <v>44.6</v>
      </c>
      <c r="G47" s="142"/>
      <c r="H47" s="12" t="s">
        <v>166</v>
      </c>
      <c r="J47" s="12" t="s">
        <v>193</v>
      </c>
    </row>
    <row r="48" spans="1:23" x14ac:dyDescent="0.3">
      <c r="A48" s="17" t="s">
        <v>175</v>
      </c>
      <c r="B48" s="153">
        <f>VLOOKUP($V$4,$U$23:$W$25,3,0)</f>
        <v>0.46</v>
      </c>
      <c r="C48" s="153"/>
      <c r="E48" s="12" t="s">
        <v>165</v>
      </c>
      <c r="H48" s="17" t="s">
        <v>74</v>
      </c>
      <c r="I48" s="13">
        <f>IF($B$5=$U$10,PipeL/refPipeL,branchL/10)</f>
        <v>1</v>
      </c>
      <c r="J48" s="12"/>
    </row>
    <row r="49" spans="1:10" x14ac:dyDescent="0.3">
      <c r="A49" s="17" t="s">
        <v>88</v>
      </c>
      <c r="B49" s="149">
        <f xml:space="preserve"> ((88.4+34.9*Nbr)*8.16)/365</f>
        <v>4.3169753424657529</v>
      </c>
      <c r="C49" s="152"/>
      <c r="E49" s="139" t="s">
        <v>147</v>
      </c>
      <c r="F49" s="140">
        <f>refWgpd*oFrac*(1-oCDeff)</f>
        <v>3.9294179425222446</v>
      </c>
      <c r="H49" s="17" t="s">
        <v>81</v>
      </c>
      <c r="I49" s="13">
        <f>IF($B$6=$W$10,VLOOKUP($B$5,$Q$10:$S$14,2,0),VLOOKUP($B$5,$Q$10:$S$14,3,0))</f>
        <v>1.1100000000000001</v>
      </c>
      <c r="J49" s="141"/>
    </row>
    <row r="50" spans="1:10" x14ac:dyDescent="0.3">
      <c r="A50" s="17" t="s">
        <v>89</v>
      </c>
      <c r="B50" s="149">
        <f>((4.52*(164+46.5*Nbr))*((3*2.08+1.59)/(2.874*2.08+1.59)))/365</f>
        <v>3.888566185718028</v>
      </c>
      <c r="C50" s="152"/>
      <c r="E50" s="139" t="s">
        <v>139</v>
      </c>
      <c r="F50" s="140">
        <f>(refWgpd-refWgpd*oFrac)*pRatio*sysFactor</f>
        <v>13.084961748599076</v>
      </c>
      <c r="H50" s="17" t="s">
        <v>82</v>
      </c>
      <c r="I50" s="13">
        <f>IF($B$5=$U$10,PipeL,branchL)</f>
        <v>10</v>
      </c>
      <c r="J50" s="141"/>
    </row>
    <row r="51" spans="1:10" x14ac:dyDescent="0.3">
      <c r="A51" s="17" t="s">
        <v>58</v>
      </c>
      <c r="B51" s="155">
        <f xml:space="preserve"> ((88.4+34.9*Nbr)*12/dWcap*(4.6415*(1/DW_EF)-1.9295))/365</f>
        <v>4.3173548719475869</v>
      </c>
      <c r="C51" s="155"/>
      <c r="E51" s="139" t="s">
        <v>148</v>
      </c>
      <c r="F51" s="138">
        <f>IF(B6="none",VLOOKUP(B5,Q41:S45,2,0)*oFrac,VLOOKUP(B5,Q41:S45,3,0)*oFrac)</f>
        <v>10.8</v>
      </c>
      <c r="H51" s="12" t="s">
        <v>182</v>
      </c>
      <c r="J51" s="141"/>
    </row>
    <row r="52" spans="1:10" x14ac:dyDescent="0.3">
      <c r="A52" s="17" t="s">
        <v>57</v>
      </c>
      <c r="B52" s="149">
        <f xml:space="preserve"> 60*((LER*kWh_cost-AGC)/(21.9825*kWh_cost-therm_cost)/392)*ACY/365</f>
        <v>3.8887507850298402</v>
      </c>
      <c r="C52" s="152"/>
      <c r="E52" s="139" t="s">
        <v>140</v>
      </c>
      <c r="F52" s="138">
        <f>IF(B6="none",VLOOKUP($B$5,$Q$41:$S$45,2,0),VLOOKUP($B$5,$Q$41:$S$45,3,0))-oEWfact</f>
        <v>32.400000000000006</v>
      </c>
      <c r="H52" s="17" t="s">
        <v>137</v>
      </c>
      <c r="I52" s="34">
        <f>HWgpd/(30+10*Nbr)</f>
        <v>0.61302652919357115</v>
      </c>
      <c r="J52" s="141"/>
    </row>
    <row r="55" spans="1:10" x14ac:dyDescent="0.3">
      <c r="J55" s="12"/>
    </row>
    <row r="56" spans="1:10" x14ac:dyDescent="0.3">
      <c r="J56" s="12"/>
    </row>
    <row r="57" spans="1:10" x14ac:dyDescent="0.3">
      <c r="J57" s="12"/>
    </row>
    <row r="58" spans="1:10" x14ac:dyDescent="0.3">
      <c r="J58" s="12"/>
    </row>
    <row r="59" spans="1:10" x14ac:dyDescent="0.3">
      <c r="J59" s="12"/>
    </row>
    <row r="60" spans="1:10" x14ac:dyDescent="0.3">
      <c r="I60" s="34"/>
      <c r="J60" s="12"/>
    </row>
  </sheetData>
  <mergeCells count="2">
    <mergeCell ref="A3:B3"/>
    <mergeCell ref="A1:K1"/>
  </mergeCells>
  <dataValidations count="17">
    <dataValidation type="list" allowBlank="1" showInputMessage="1" showErrorMessage="1" sqref="B7:C7">
      <formula1>$V$10:$V$11</formula1>
    </dataValidation>
    <dataValidation type="whole" showInputMessage="1" showErrorMessage="1" error="Value must be whole number between 1 and 5" prompt="Number of conditioned floor levels, including conditioned basements." sqref="I6">
      <formula1>1</formula1>
      <formula2>5</formula2>
    </dataValidation>
    <dataValidation type="whole" allowBlank="1" showInputMessage="1" showErrorMessage="1" error="Value must be either 0 or 1" prompt="Include only unconditioned basements._x000a_" sqref="I7">
      <formula1>0</formula1>
      <formula2>1</formula2>
    </dataValidation>
    <dataValidation allowBlank="1" showInputMessage="1" showErrorMessage="1" error="Value must be whole number between 1 and 10" sqref="I5"/>
    <dataValidation type="whole" allowBlank="1" showInputMessage="1" showErrorMessage="1" error="Must be a whole number between 1 and 100" sqref="I8">
      <formula1>1</formula1>
      <formula2>100</formula2>
    </dataValidation>
    <dataValidation type="list" allowBlank="1" showInputMessage="1" showErrorMessage="1" sqref="B6:C6">
      <formula1>$W$10:$W$11</formula1>
    </dataValidation>
    <dataValidation type="list" allowBlank="1" showInputMessage="1" showErrorMessage="1" sqref="B5:C5">
      <formula1>$U$10:$U$14</formula1>
    </dataValidation>
    <dataValidation type="list" allowBlank="1" showInputMessage="1" showErrorMessage="1" sqref="I10">
      <formula1>$X$10:$X$11</formula1>
    </dataValidation>
    <dataValidation type="decimal" allowBlank="1" showInputMessage="1" showErrorMessage="1" error="Input value must be between 0% and 50%" sqref="X5">
      <formula1>0</formula1>
      <formula2>0.5</formula2>
    </dataValidation>
    <dataValidation type="decimal" allowBlank="1" showInputMessage="1" showErrorMessage="1" error="Input value must be between 0% and 100%" sqref="X4">
      <formula1>0</formula1>
      <formula2>1</formula2>
    </dataValidation>
    <dataValidation type="list" allowBlank="1" showInputMessage="1" showErrorMessage="1" prompt="YES = DWHR equally impacts fixture and water heater supply. _x000a_NO = DWHR impacts ONLY the fixture or ONLY the water heater supply." sqref="K5">
      <formula1>$Y$10:$Y$11</formula1>
    </dataValidation>
    <dataValidation type="list" allowBlank="1" showInputMessage="1" showErrorMessage="1" sqref="K4">
      <formula1>$Z$10:$Z$11</formula1>
    </dataValidation>
    <dataValidation type="list" allowBlank="1" showErrorMessage="1" sqref="B12:C12">
      <formula1>$Y$10:$Y$11</formula1>
    </dataValidation>
    <dataValidation type="list" allowBlank="1" showInputMessage="1" showErrorMessage="1" prompt="Select YES if you want to use values in cells I11 and I12._x000a_Select NO if you want to use minimum EF values. _x000a_The value used in the calculations apprears in cell K10." sqref="I37">
      <formula1>$Y$10:$Y$11</formula1>
    </dataValidation>
    <dataValidation allowBlank="1" showInputMessage="1" showErrorMessage="1" prompt="Tankless water heater EF values will be multiplied by 0.92." sqref="I35"/>
    <dataValidation type="list" allowBlank="1" showInputMessage="1" showErrorMessage="1" sqref="C4">
      <formula1>$AB$4:$AB$7</formula1>
    </dataValidation>
    <dataValidation type="list" allowBlank="1" showInputMessage="1" showErrorMessage="1" sqref="B4">
      <formula1>$AB$4:$AB$6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0"/>
  <sheetViews>
    <sheetView topLeftCell="Z1" workbookViewId="0">
      <pane ySplit="3" topLeftCell="A4" activePane="bottomLeft" state="frozen"/>
      <selection pane="bottomLeft" activeCell="AM14" sqref="AM14"/>
    </sheetView>
  </sheetViews>
  <sheetFormatPr defaultRowHeight="14.4" x14ac:dyDescent="0.3"/>
  <cols>
    <col min="1" max="1" width="9.33203125" customWidth="1"/>
    <col min="2" max="2" width="6.77734375" customWidth="1"/>
    <col min="4" max="4" width="9.6640625" style="1" customWidth="1"/>
    <col min="5" max="5" width="8.77734375" style="1"/>
    <col min="7" max="7" width="8.77734375" customWidth="1"/>
    <col min="8" max="9" width="9.6640625" customWidth="1"/>
    <col min="10" max="10" width="7.6640625" customWidth="1"/>
    <col min="11" max="11" width="7.21875" customWidth="1"/>
    <col min="13" max="14" width="8.77734375" style="1"/>
    <col min="15" max="15" width="9.6640625" style="1" customWidth="1"/>
    <col min="16" max="16" width="8.77734375" style="1"/>
    <col min="17" max="17" width="9.6640625" style="1" customWidth="1"/>
    <col min="18" max="18" width="8.77734375" style="1"/>
    <col min="21" max="21" width="9.6640625" customWidth="1"/>
    <col min="23" max="23" width="9.6640625" customWidth="1"/>
    <col min="25" max="25" width="9.44140625" customWidth="1"/>
    <col min="30" max="30" width="2.6640625" customWidth="1"/>
  </cols>
  <sheetData>
    <row r="1" spans="1:53" x14ac:dyDescent="0.3">
      <c r="A1" s="92" t="s">
        <v>209</v>
      </c>
      <c r="B1" s="149"/>
      <c r="E1" s="11"/>
      <c r="H1" s="204"/>
      <c r="I1" s="205"/>
      <c r="J1" s="139" t="s">
        <v>212</v>
      </c>
      <c r="K1" s="200">
        <f>30+10*Nbr</f>
        <v>60</v>
      </c>
      <c r="L1" s="202"/>
      <c r="M1" s="13"/>
      <c r="N1" s="11"/>
      <c r="O1" s="11"/>
      <c r="P1" s="11"/>
      <c r="Q1" s="11"/>
      <c r="R1" s="11"/>
      <c r="S1" s="141"/>
      <c r="AE1" s="311" t="s">
        <v>354</v>
      </c>
      <c r="AF1" s="311"/>
      <c r="AG1" s="312" t="s">
        <v>356</v>
      </c>
      <c r="AH1" s="312"/>
      <c r="AI1" s="313" t="s">
        <v>355</v>
      </c>
      <c r="AJ1" s="313"/>
      <c r="AL1" s="2" t="s">
        <v>364</v>
      </c>
      <c r="AM1" s="318">
        <v>8.3249999999999993</v>
      </c>
      <c r="BA1" s="320" t="s">
        <v>27</v>
      </c>
    </row>
    <row r="2" spans="1:53" x14ac:dyDescent="0.3">
      <c r="A2" s="218" t="str">
        <f>'Hot Water Calcs'!B4</f>
        <v>Orlando</v>
      </c>
      <c r="B2" s="11"/>
      <c r="C2" s="11"/>
      <c r="D2" s="11"/>
      <c r="E2" s="11"/>
      <c r="F2" s="11"/>
      <c r="G2" s="11"/>
      <c r="H2" s="204"/>
      <c r="I2" s="206"/>
      <c r="M2" s="11"/>
      <c r="N2" s="11"/>
      <c r="O2" s="11"/>
      <c r="P2" s="11"/>
      <c r="Q2" s="11"/>
      <c r="R2" s="11"/>
      <c r="S2" s="142"/>
      <c r="AE2" s="311" t="s">
        <v>357</v>
      </c>
      <c r="AF2" s="311"/>
      <c r="AG2" s="312" t="s">
        <v>357</v>
      </c>
      <c r="AH2" s="312"/>
      <c r="AI2" s="313" t="s">
        <v>358</v>
      </c>
      <c r="AJ2" s="313"/>
      <c r="AL2" s="9" t="s">
        <v>373</v>
      </c>
      <c r="AM2" s="319">
        <v>1</v>
      </c>
      <c r="AN2" s="2" t="s">
        <v>374</v>
      </c>
      <c r="AO2">
        <v>0.78</v>
      </c>
      <c r="BA2" s="320" t="s">
        <v>23</v>
      </c>
    </row>
    <row r="3" spans="1:53" x14ac:dyDescent="0.3">
      <c r="A3" s="186" t="s">
        <v>29</v>
      </c>
      <c r="B3" s="186" t="s">
        <v>197</v>
      </c>
      <c r="C3" s="186" t="s">
        <v>198</v>
      </c>
      <c r="D3" s="187" t="s">
        <v>202</v>
      </c>
      <c r="E3" s="219" t="s">
        <v>216</v>
      </c>
      <c r="F3" s="187" t="s">
        <v>199</v>
      </c>
      <c r="G3" s="187" t="s">
        <v>201</v>
      </c>
      <c r="H3" s="188" t="s">
        <v>200</v>
      </c>
      <c r="I3" s="189" t="s">
        <v>17</v>
      </c>
      <c r="J3" s="195" t="s">
        <v>210</v>
      </c>
      <c r="K3" s="196" t="s">
        <v>211</v>
      </c>
      <c r="L3" s="188" t="s">
        <v>203</v>
      </c>
      <c r="M3" s="189" t="s">
        <v>68</v>
      </c>
      <c r="N3" s="188" t="s">
        <v>205</v>
      </c>
      <c r="O3" s="189" t="s">
        <v>142</v>
      </c>
      <c r="P3" s="188" t="s">
        <v>204</v>
      </c>
      <c r="Q3" s="189" t="s">
        <v>206</v>
      </c>
      <c r="R3" s="192" t="s">
        <v>208</v>
      </c>
      <c r="S3" s="193" t="s">
        <v>55</v>
      </c>
      <c r="T3" s="207" t="s">
        <v>213</v>
      </c>
      <c r="U3" s="210" t="s">
        <v>195</v>
      </c>
      <c r="V3" s="207" t="s">
        <v>214</v>
      </c>
      <c r="W3" s="210" t="s">
        <v>196</v>
      </c>
      <c r="X3" s="195" t="s">
        <v>215</v>
      </c>
      <c r="Y3" s="207" t="str">
        <f>IF('Hot Water Calcs'!$I$10="gas","refTherms","refkWh")</f>
        <v>refkWh</v>
      </c>
      <c r="Z3" s="210" t="str">
        <f>IF('Hot Water Calcs'!$I$10="gas","Therms","kWh")</f>
        <v>kWh</v>
      </c>
      <c r="AA3" s="207" t="s">
        <v>270</v>
      </c>
      <c r="AB3" s="210" t="s">
        <v>271</v>
      </c>
      <c r="AC3" s="196" t="str">
        <f>IF('Hot Water Calcs'!$I$10="gas","Uth","UkWh")</f>
        <v>UkWh</v>
      </c>
      <c r="AE3" s="207" t="s">
        <v>283</v>
      </c>
      <c r="AF3" s="207" t="str">
        <f>IF('Hot Water Calcs'!$I$10="gas","Th_cals","kWh_calc")</f>
        <v>kWh_calc</v>
      </c>
      <c r="AG3" s="210" t="s">
        <v>283</v>
      </c>
      <c r="AH3" s="210" t="str">
        <f>IF('Hot Water Calcs'!$I$10="gas","Th_cals","kWh_calc")</f>
        <v>kWh_calc</v>
      </c>
      <c r="AI3" s="196" t="s">
        <v>352</v>
      </c>
      <c r="AJ3" s="196" t="str">
        <f>IF('Hot Water Calcs'!$I$10="gas","Th_cals","kWh_calc")</f>
        <v>kWh_calc</v>
      </c>
      <c r="AK3" s="2"/>
      <c r="AL3" s="9" t="s">
        <v>366</v>
      </c>
      <c r="AM3" s="318">
        <f>IF('Hot Water Calcs'!B4='Hot Water Calcs'!AB4,'Monthly Calcs'!AL16,IF('Hot Water Calcs'!B4='Hot Water Calcs'!AB5,'Monthly Calcs'!AM16,IF('Hot Water Calcs'!B4='Hot Water Calcs'!AB6,'Monthly Calcs'!AN16,"error")))</f>
        <v>73</v>
      </c>
    </row>
    <row r="4" spans="1:53" x14ac:dyDescent="0.3">
      <c r="A4" s="17" t="s">
        <v>32</v>
      </c>
      <c r="B4" s="166">
        <v>31</v>
      </c>
      <c r="C4" s="168">
        <f>IF($A$2="Jacksonville",VLOOKUP(A4,Tmains!$A$3:$G$14,2,FALSE),IF($A$2="Tallahassee",VLOOKUP(A4,Tmains!$A$3:$G$14,3,FALSE),IF($A$2="Miami", VLOOKUP(A4,Tmains!$A$3:$G$14,4,FALSE), IF($A$2="Orlando",VLOOKUP(A4,Tmains!$A$3:$G$14,5,FALSE),IF($A$2="Tampa",VLOOKUP(A4,Tmains!$A$3:$G$14,6,FALSE),VLOOKUP(A4,Tmains!$A$3:$G$14,7,FALSE))))))</f>
        <v>69.98</v>
      </c>
      <c r="D4" s="140">
        <f>IF('Hot Water Calcs'!$B$12="yes",Ifrac*(DWHRinT-C4)*DWHReff*PLC*LocF*FixF,0)</f>
        <v>0</v>
      </c>
      <c r="E4" s="220">
        <f t="shared" ref="E4:E15" si="0">C4+D4</f>
        <v>69.98</v>
      </c>
      <c r="F4" s="176">
        <f t="shared" ref="F4:F15" si="1" xml:space="preserve"> 1-((Tset-Tuse)/(Tset-(C4)))</f>
        <v>0.63649581970192659</v>
      </c>
      <c r="G4" s="177">
        <f t="shared" ref="G4:G15" si="2" xml:space="preserve"> 1-((Tset-Tuse)/(Tset-C4-D4))</f>
        <v>0.63649581970192659</v>
      </c>
      <c r="H4" s="171">
        <f t="shared" ref="H4:H15" si="3">(refDWgpd+refCWgpd+F4*(refFgpd+refWgpd))*Ndu</f>
        <v>46.59748746399832</v>
      </c>
      <c r="I4" s="174">
        <f t="shared" ref="I4:I15" si="4">(DWgpd+CWgpd+(Feff*G4*(refFgpd+oWgdp+sWgdp*WDeff))*VintFact)*Ndu</f>
        <v>39.927729655354803</v>
      </c>
      <c r="J4" s="3">
        <f t="shared" ref="J4:J15" si="5">H4-I4</f>
        <v>6.6697578086435172</v>
      </c>
      <c r="K4" s="197">
        <f t="shared" ref="K4:K15" si="6">I4/$I$16*$K$1</f>
        <v>65.132139889409416</v>
      </c>
      <c r="L4" s="171">
        <f t="shared" ref="L4:L15" si="7">F4*refFgpd*Ndu</f>
        <v>28.387713558705926</v>
      </c>
      <c r="M4" s="174">
        <f t="shared" ref="M4:M15" si="8">Feff*G4*refFgpd*VintFact*Ndu</f>
        <v>28.387713558705926</v>
      </c>
      <c r="N4" s="171">
        <f t="shared" ref="N4:N15" si="9">F4*(refWgpd-refWgpd*oFrac)*Ndu</f>
        <v>7.5031742828314618</v>
      </c>
      <c r="O4" s="174">
        <f t="shared" ref="O4:O15" si="10">Feff*G4*sWgdp*WDeff*VintFact*Ndu</f>
        <v>0.83285234539429231</v>
      </c>
      <c r="P4" s="171">
        <f t="shared" ref="P4:P15" si="11">F4*refWgpd*oFrac*Ndu</f>
        <v>2.5010580942771541</v>
      </c>
      <c r="Q4" s="174">
        <f t="shared" ref="Q4:Q15" si="12">Feff*G4*oWgdp*VintFact*Ndu</f>
        <v>2.5010580942771541</v>
      </c>
      <c r="R4" s="190">
        <f t="shared" ref="R4:R15" si="13">N4+P4</f>
        <v>10.004232377108616</v>
      </c>
      <c r="S4" s="191">
        <f t="shared" ref="S4:S15" si="14">O4+Q4</f>
        <v>3.3339104396714463</v>
      </c>
      <c r="T4" s="208">
        <f t="shared" ref="T4:T15" si="15">refCWgpd</f>
        <v>3.888566185718028</v>
      </c>
      <c r="U4" s="191">
        <f t="shared" ref="U4:U15" si="16">CWgpd</f>
        <v>3.8887507850298402</v>
      </c>
      <c r="V4" s="208">
        <f t="shared" ref="V4:V15" si="17">refDWgpd</f>
        <v>4.3169753424657529</v>
      </c>
      <c r="W4" s="191">
        <f t="shared" ref="W4:W15" si="18">DWgpd</f>
        <v>4.3173548719475869</v>
      </c>
      <c r="X4" s="3">
        <f>(T4+V4)-(U4+W4)</f>
        <v>-5.6412879364664548E-4</v>
      </c>
      <c r="Y4" s="233">
        <f>IF('Hot Water Calcs'!$I$10="gas",
((125-$C4)*8.341*$H4*$B4/10^5/0.62)*'Hot Water Calcs'!$G$12,
((125-$C4)*8.341*$H4*$B4/3412/0.95)*'Hot Water Calcs'!$G$12)</f>
        <v>204.51740494433392</v>
      </c>
      <c r="Z4" s="235">
        <f>IF('Hot Water Calcs'!$I$10="gas",
((125-$E4)*8.341*$I4*$B4/10^5/EFuse)*'Hot Water Calcs'!$F$12,
((125-$E4)*8.341*$I4*$B4/3412/EFuse)*'Hot Water Calcs'!$F$12)</f>
        <v>187.90634074584599</v>
      </c>
      <c r="AA4" s="291">
        <f>$H$16</f>
        <v>42.789789714563994</v>
      </c>
      <c r="AB4" s="292">
        <f>$I$16</f>
        <v>36.781591751614272</v>
      </c>
      <c r="AC4" s="299">
        <f>IF('Hot Water Calcs'!$I$10="gas",
((125-$E4)*8.341*$K4*$B4/10^5/EFuse)*'Hot Water Calcs'!$F$12,
((125-$E4)*8.341*$K4*$B4/3412/EFuse)*'Hot Water Calcs'!$F$12)</f>
        <v>306.52236371080784</v>
      </c>
      <c r="AE4" s="208">
        <f t="shared" ref="AE4:AE15" si="19">$H4*lb_gal*$B4*(125-$C4)/10^6</f>
        <v>0.66165107468147055</v>
      </c>
      <c r="AF4" s="233">
        <f>IF('Hot Water Calcs'!$I$10="gas",($AE4*10^6/gRE+NE_Stdby*(125-Tamb)*24*$B4)/10^5,($AE4*10^6/eRE+E_Stdby*(125-Tamb)*24*$B4)/3412)</f>
        <v>198.73668157923976</v>
      </c>
      <c r="AG4" s="191">
        <f t="shared" ref="AG4:AG15" si="20">$I4*lb_gal*$B4*(125-$E4)/10^6</f>
        <v>0.56694527267092898</v>
      </c>
      <c r="AH4" s="235">
        <f>IF('Hot Water Calcs'!$I$10="gas",($AG4*10^6/gRE+NE_Stdby*(125-Tamb)*24*$B4)*EDeff/10^5,($AG4*10^6/eRE+E_Stdby*(125-Tamb)*24*$B4)*EDeff/3412)</f>
        <v>182.94859860066589</v>
      </c>
      <c r="AI4" s="197">
        <f t="shared" ref="AI4:AI15" si="21">$K$1*lb_gal*$B4*(120-$E4)/10^6</f>
        <v>0.77453468999999986</v>
      </c>
      <c r="AJ4" s="299">
        <f>IF('Hot Water Calcs'!$I$10="gas",($AI4*10^6/gRE+NE_Stdby*(120-Tamb)*24*$B4)/10^5,($AI4*10^6/eRE+E_Stdby*(120-Tamb)*24*$B4)/3412)</f>
        <v>231.35772260091127</v>
      </c>
      <c r="AK4" s="33"/>
      <c r="AL4" s="9" t="s">
        <v>367</v>
      </c>
      <c r="AM4" s="318" t="s">
        <v>27</v>
      </c>
    </row>
    <row r="5" spans="1:53" x14ac:dyDescent="0.3">
      <c r="A5" s="17" t="s">
        <v>33</v>
      </c>
      <c r="B5" s="167">
        <v>28</v>
      </c>
      <c r="C5" s="168">
        <f>IF($A$2="Jacksonville",VLOOKUP(A5,Tmains!$A$3:$E$14,2,FALSE),IF($A$2="Tallahassee",VLOOKUP(A5,Tmains!$A$3:$E$14,3,FALSE),IF($A$2="Miami", VLOOKUP(A5,Tmains!$A$3:$E$14,4,FALSE), VLOOKUP(A5,Tmains!$A$3:$E$14,5,FALSE))))</f>
        <v>70.47</v>
      </c>
      <c r="D5" s="140">
        <f>IF('Hot Water Calcs'!$B$12="yes",Ifrac*(DWHRinT-C5)*DWHReff*PLC*LocF*FixF,0)</f>
        <v>0</v>
      </c>
      <c r="E5" s="220">
        <f t="shared" si="0"/>
        <v>70.47</v>
      </c>
      <c r="F5" s="176">
        <f t="shared" si="1"/>
        <v>0.63322941500091701</v>
      </c>
      <c r="G5" s="177">
        <f t="shared" si="2"/>
        <v>0.63322941500091701</v>
      </c>
      <c r="H5" s="171">
        <f t="shared" si="3"/>
        <v>46.400465537374551</v>
      </c>
      <c r="I5" s="174">
        <f t="shared" si="4"/>
        <v>39.764938858393272</v>
      </c>
      <c r="J5" s="3">
        <f t="shared" si="5"/>
        <v>6.6355266789812788</v>
      </c>
      <c r="K5" s="197">
        <f t="shared" si="6"/>
        <v>64.86658727592679</v>
      </c>
      <c r="L5" s="171">
        <f t="shared" si="7"/>
        <v>28.2420319090409</v>
      </c>
      <c r="M5" s="174">
        <f t="shared" si="8"/>
        <v>28.2420319090409</v>
      </c>
      <c r="N5" s="171">
        <f t="shared" si="9"/>
        <v>7.4646690751124041</v>
      </c>
      <c r="O5" s="174">
        <f t="shared" si="10"/>
        <v>0.82857826733747686</v>
      </c>
      <c r="P5" s="171">
        <f t="shared" si="11"/>
        <v>2.4882230250374677</v>
      </c>
      <c r="Q5" s="174">
        <f t="shared" si="12"/>
        <v>2.4882230250374677</v>
      </c>
      <c r="R5" s="190">
        <f t="shared" si="13"/>
        <v>9.9528921001498709</v>
      </c>
      <c r="S5" s="191">
        <f t="shared" si="14"/>
        <v>3.3168012923749446</v>
      </c>
      <c r="T5" s="208">
        <f t="shared" si="15"/>
        <v>3.888566185718028</v>
      </c>
      <c r="U5" s="191">
        <f t="shared" si="16"/>
        <v>3.8887507850298402</v>
      </c>
      <c r="V5" s="208">
        <f t="shared" si="17"/>
        <v>4.3169753424657529</v>
      </c>
      <c r="W5" s="191">
        <f t="shared" si="18"/>
        <v>4.3173548719475869</v>
      </c>
      <c r="X5" s="3">
        <f t="shared" ref="X5:X15" si="22">(T5+V5)-(U5+W5)</f>
        <v>-5.6412879364664548E-4</v>
      </c>
      <c r="Y5" s="233">
        <f>IF('Hot Water Calcs'!$I$10="gas",
((125-$C5)*8.341*$H5*$B5/10^5/0.62)*'Hot Water Calcs'!$G$12,
((125-$C5)*8.341*$H5*$B5/3412/0.95)*'Hot Water Calcs'!$G$12)</f>
        <v>182.30616709071685</v>
      </c>
      <c r="Z5" s="235">
        <f>IF('Hot Water Calcs'!$I$10="gas",
((125-$E5)*8.341*$I5*$B5/10^5/EFuse)*'Hot Water Calcs'!$F$12,
((125-$E5)*8.341*$I5*$B5/3412/EFuse)*'Hot Water Calcs'!$F$12)</f>
        <v>167.52452187382499</v>
      </c>
      <c r="AA5" s="291">
        <f t="shared" ref="AA5:AA16" si="23">$H$16</f>
        <v>42.789789714563994</v>
      </c>
      <c r="AB5" s="292">
        <f t="shared" ref="AB5:AB16" si="24">$I$16</f>
        <v>36.781591751614272</v>
      </c>
      <c r="AC5" s="300">
        <f>IF('Hot Water Calcs'!$I$10="gas",
((125-$E5)*8.341*$K5*$B5/10^5/EFuse)*'Hot Water Calcs'!$F$12,
((125-$E5)*8.341*$K5*$B5/3412/EFuse)*'Hot Water Calcs'!$F$12)</f>
        <v>273.27450590792768</v>
      </c>
      <c r="AE5" s="208">
        <f t="shared" si="19"/>
        <v>0.58979367261903226</v>
      </c>
      <c r="AF5" s="233">
        <f>IF('Hot Water Calcs'!$I$10="gas",($AE5*10^6/gRE+NE_Stdby*(125-Tamb)*24*$B5)/10^5,($AE5*10^6/eRE+E_Stdby*(125-Tamb)*24*$B5)/3412)</f>
        <v>177.2102387348549</v>
      </c>
      <c r="AG5" s="191">
        <f t="shared" si="20"/>
        <v>0.50544987122752194</v>
      </c>
      <c r="AH5" s="235">
        <f>IF('Hot Water Calcs'!$I$10="gas",($AG5*10^6/gRE+NE_Stdby*(125-Tamb)*24*$B5)*EDeff/10^5,($AG5*10^6/eRE+E_Stdby*(125-Tamb)*24*$B5)*EDeff/3412)</f>
        <v>163.16481843313059</v>
      </c>
      <c r="AI5" s="197">
        <f t="shared" si="21"/>
        <v>0.69272657999999998</v>
      </c>
      <c r="AJ5" s="299">
        <f>IF('Hot Water Calcs'!$I$10="gas",($AI5*10^6/gRE+NE_Stdby*(120-Tamb)*24*$B5)/10^5,($AI5*10^6/eRE+E_Stdby*(120-Tamb)*24*$B5)/3412)</f>
        <v>206.95972512953017</v>
      </c>
      <c r="AK5" s="33"/>
      <c r="AL5" s="9" t="s">
        <v>365</v>
      </c>
      <c r="AM5" s="333">
        <f>UAtank!W16</f>
        <v>0.42489875069519056</v>
      </c>
      <c r="AN5" s="2" t="s">
        <v>372</v>
      </c>
      <c r="AO5" s="33">
        <f>UAtank!W21</f>
        <v>7.8072633097298709</v>
      </c>
    </row>
    <row r="6" spans="1:53" x14ac:dyDescent="0.3">
      <c r="A6" s="17" t="s">
        <v>34</v>
      </c>
      <c r="B6" s="167">
        <v>31</v>
      </c>
      <c r="C6" s="168">
        <f>IF($A$2="Jacksonville",VLOOKUP(A6,Tmains!$A$3:$E$14,2,FALSE),IF($A$2="Tallahassee",VLOOKUP(A6,Tmains!$A$3:$E$14,3,FALSE),IF($A$2="Miami", VLOOKUP(A6,Tmains!$A$3:$E$14,4,FALSE), VLOOKUP(A6,Tmains!$A$3:$E$14,5,FALSE))))</f>
        <v>72.760000000000005</v>
      </c>
      <c r="D6" s="140">
        <f>IF('Hot Water Calcs'!$B$12="yes",Ifrac*(DWHRinT-C6)*DWHReff*PLC*LocF*FixF,0)</f>
        <v>0</v>
      </c>
      <c r="E6" s="220">
        <f t="shared" si="0"/>
        <v>72.760000000000005</v>
      </c>
      <c r="F6" s="176">
        <f t="shared" si="1"/>
        <v>0.61715160796324653</v>
      </c>
      <c r="G6" s="177">
        <f t="shared" si="2"/>
        <v>0.61715160796324653</v>
      </c>
      <c r="H6" s="171">
        <f t="shared" si="3"/>
        <v>45.430689649693512</v>
      </c>
      <c r="I6" s="174">
        <f t="shared" si="4"/>
        <v>38.963654492054005</v>
      </c>
      <c r="J6" s="3">
        <f t="shared" si="5"/>
        <v>6.4670351576395078</v>
      </c>
      <c r="K6" s="197">
        <f t="shared" si="6"/>
        <v>63.5594915334418</v>
      </c>
      <c r="L6" s="171">
        <f t="shared" si="7"/>
        <v>27.524961715160796</v>
      </c>
      <c r="M6" s="174">
        <f t="shared" si="8"/>
        <v>27.524961715160796</v>
      </c>
      <c r="N6" s="171">
        <f t="shared" si="9"/>
        <v>7.2751398047617055</v>
      </c>
      <c r="O6" s="174">
        <f t="shared" si="10"/>
        <v>0.80754051832854934</v>
      </c>
      <c r="P6" s="171">
        <f t="shared" si="11"/>
        <v>2.4250466015872352</v>
      </c>
      <c r="Q6" s="174">
        <f t="shared" si="12"/>
        <v>2.4250466015872352</v>
      </c>
      <c r="R6" s="190">
        <f t="shared" si="13"/>
        <v>9.7001864063489407</v>
      </c>
      <c r="S6" s="191">
        <f t="shared" si="14"/>
        <v>3.2325871199157845</v>
      </c>
      <c r="T6" s="208">
        <f t="shared" si="15"/>
        <v>3.888566185718028</v>
      </c>
      <c r="U6" s="191">
        <f t="shared" si="16"/>
        <v>3.8887507850298402</v>
      </c>
      <c r="V6" s="208">
        <f t="shared" si="17"/>
        <v>4.3169753424657529</v>
      </c>
      <c r="W6" s="191">
        <f t="shared" si="18"/>
        <v>4.3173548719475869</v>
      </c>
      <c r="X6" s="3">
        <f t="shared" si="22"/>
        <v>-5.6412879364664548E-4</v>
      </c>
      <c r="Y6" s="233">
        <f>IF('Hot Water Calcs'!$I$10="gas",
((125-$C6)*8.341*$H6*$B6/10^5/0.62)*'Hot Water Calcs'!$G$12,
((125-$C6)*8.341*$H6*$B6/3412/0.95)*'Hot Water Calcs'!$G$12)</f>
        <v>189.32139029499152</v>
      </c>
      <c r="Z6" s="235">
        <f>IF('Hot Water Calcs'!$I$10="gas",
((125-$E6)*8.341*$I6*$B6/10^5/EFuse)*'Hot Water Calcs'!$F$12,
((125-$E6)*8.341*$I6*$B6/3412/EFuse)*'Hot Water Calcs'!$F$12)</f>
        <v>174.10413458182131</v>
      </c>
      <c r="AA6" s="291">
        <f t="shared" si="23"/>
        <v>42.789789714563994</v>
      </c>
      <c r="AB6" s="292">
        <f t="shared" si="24"/>
        <v>36.781591751614272</v>
      </c>
      <c r="AC6" s="300">
        <f>IF('Hot Water Calcs'!$I$10="gas",
((125-$E6)*8.341*$K6*$B6/10^5/EFuse)*'Hot Water Calcs'!$F$12,
((125-$E6)*8.341*$K6*$B6/3412/EFuse)*'Hot Water Calcs'!$F$12)</f>
        <v>284.00750422800326</v>
      </c>
      <c r="AE6" s="208">
        <f t="shared" si="19"/>
        <v>0.61248919808544466</v>
      </c>
      <c r="AF6" s="233">
        <f>IF('Hot Water Calcs'!$I$10="gas",($AE6*10^6/gRE+NE_Stdby*(125-Tamb)*24*$B6)/10^5,($AE6*10^6/eRE+E_Stdby*(125-Tamb)*24*$B6)/3412)</f>
        <v>184.32815971639511</v>
      </c>
      <c r="AG6" s="191">
        <f t="shared" si="20"/>
        <v>0.52530167774984426</v>
      </c>
      <c r="AH6" s="235">
        <f>IF('Hot Water Calcs'!$I$10="gas",($AG6*10^6/gRE+NE_Stdby*(125-Tamb)*24*$B6)*EDeff/10^5,($AG6*10^6/eRE+E_Stdby*(125-Tamb)*24*$B6)*EDeff/3412)</f>
        <v>169.88920628954028</v>
      </c>
      <c r="AI6" s="197">
        <f t="shared" si="21"/>
        <v>0.73148777999999981</v>
      </c>
      <c r="AJ6" s="299">
        <f>IF('Hot Water Calcs'!$I$10="gas",($AI6*10^6/gRE+NE_Stdby*(120-Tamb)*24*$B6)/10^5,($AI6*10^6/eRE+E_Stdby*(120-Tamb)*24*$B6)/3412)</f>
        <v>218.74139493385383</v>
      </c>
      <c r="AK6" s="33"/>
      <c r="AL6" s="33"/>
    </row>
    <row r="7" spans="1:53" x14ac:dyDescent="0.3">
      <c r="A7" s="17" t="s">
        <v>35</v>
      </c>
      <c r="B7" s="167">
        <v>30</v>
      </c>
      <c r="C7" s="168">
        <f>IF($A$2="Jacksonville",VLOOKUP(A7,Tmains!$A$3:$E$14,2,FALSE),IF($A$2="Tallahassee",VLOOKUP(A7,Tmains!$A$3:$E$14,3,FALSE),IF($A$2="Miami", VLOOKUP(A7,Tmains!$A$3:$E$14,4,FALSE), VLOOKUP(A7,Tmains!$A$3:$E$14,5,FALSE))))</f>
        <v>76.260000000000005</v>
      </c>
      <c r="D7" s="140">
        <f>IF('Hot Water Calcs'!$B$12="yes",Ifrac*(DWHRinT-C7)*DWHReff*PLC*LocF*FixF,0)</f>
        <v>0</v>
      </c>
      <c r="E7" s="220">
        <f t="shared" si="0"/>
        <v>76.260000000000005</v>
      </c>
      <c r="F7" s="176">
        <f t="shared" si="1"/>
        <v>0.5896594173163725</v>
      </c>
      <c r="G7" s="177">
        <f t="shared" si="2"/>
        <v>0.5896594173163725</v>
      </c>
      <c r="H7" s="171">
        <f t="shared" si="3"/>
        <v>43.772424718014655</v>
      </c>
      <c r="I7" s="174">
        <f t="shared" si="4"/>
        <v>37.593501055696407</v>
      </c>
      <c r="J7" s="3">
        <f t="shared" si="5"/>
        <v>6.1789236623182475</v>
      </c>
      <c r="K7" s="197">
        <f t="shared" si="6"/>
        <v>61.324427680397761</v>
      </c>
      <c r="L7" s="171">
        <f t="shared" si="7"/>
        <v>26.298810012310213</v>
      </c>
      <c r="M7" s="174">
        <f t="shared" si="8"/>
        <v>26.298810012310213</v>
      </c>
      <c r="N7" s="171">
        <f t="shared" si="9"/>
        <v>6.9510548831404986</v>
      </c>
      <c r="O7" s="174">
        <f t="shared" si="10"/>
        <v>0.77156709202859541</v>
      </c>
      <c r="P7" s="171">
        <f t="shared" si="11"/>
        <v>2.317018294380166</v>
      </c>
      <c r="Q7" s="174">
        <f t="shared" si="12"/>
        <v>2.317018294380166</v>
      </c>
      <c r="R7" s="190">
        <f t="shared" si="13"/>
        <v>9.2680731775206642</v>
      </c>
      <c r="S7" s="191">
        <f t="shared" si="14"/>
        <v>3.0885853864087616</v>
      </c>
      <c r="T7" s="208">
        <f t="shared" si="15"/>
        <v>3.888566185718028</v>
      </c>
      <c r="U7" s="191">
        <f t="shared" si="16"/>
        <v>3.8887507850298402</v>
      </c>
      <c r="V7" s="208">
        <f t="shared" si="17"/>
        <v>4.3169753424657529</v>
      </c>
      <c r="W7" s="191">
        <f t="shared" si="18"/>
        <v>4.3173548719475869</v>
      </c>
      <c r="X7" s="3">
        <f t="shared" si="22"/>
        <v>-5.6412879364664548E-4</v>
      </c>
      <c r="Y7" s="233">
        <f>IF('Hot Water Calcs'!$I$10="gas",
((125-$C7)*8.341*$H7*$B7/10^5/0.62)*'Hot Water Calcs'!$G$12,
((125-$C7)*8.341*$H7*$B7/3412/0.95)*'Hot Water Calcs'!$G$12)</f>
        <v>164.69972629869267</v>
      </c>
      <c r="Z7" s="235">
        <f>IF('Hot Water Calcs'!$I$10="gas",
((125-$E7)*8.341*$I7*$B7/10^5/EFuse)*'Hot Water Calcs'!$F$12,
((125-$E7)*8.341*$I7*$B7/3412/EFuse)*'Hot Water Calcs'!$F$12)</f>
        <v>151.67153837202733</v>
      </c>
      <c r="AA7" s="291">
        <f t="shared" si="23"/>
        <v>42.789789714563994</v>
      </c>
      <c r="AB7" s="292">
        <f t="shared" si="24"/>
        <v>36.781591751614272</v>
      </c>
      <c r="AC7" s="300">
        <f>IF('Hot Water Calcs'!$I$10="gas",
((125-$E7)*8.341*$K7*$B7/10^5/EFuse)*'Hot Water Calcs'!$F$12,
((125-$E7)*8.341*$K7*$B7/3412/EFuse)*'Hot Water Calcs'!$F$12)</f>
        <v>247.41431430634719</v>
      </c>
      <c r="AE7" s="208">
        <f t="shared" si="19"/>
        <v>0.53283362819381941</v>
      </c>
      <c r="AF7" s="233">
        <f>IF('Hot Water Calcs'!$I$10="gas",($AE7*10^6/gRE+NE_Stdby*(125-Tamb)*24*$B7)/10^5,($AE7*10^6/eRE+E_Stdby*(125-Tamb)*24*$B7)/3412)</f>
        <v>160.82703324145587</v>
      </c>
      <c r="AG7" s="191">
        <f t="shared" si="20"/>
        <v>0.45761873355329702</v>
      </c>
      <c r="AH7" s="235">
        <f>IF('Hot Water Calcs'!$I$10="gas",($AG7*10^6/gRE+NE_Stdby*(125-Tamb)*24*$B7)*EDeff/10^5,($AG7*10^6/eRE+E_Stdby*(125-Tamb)*24*$B7)*EDeff/3412)</f>
        <v>148.49760515060893</v>
      </c>
      <c r="AI7" s="197">
        <f t="shared" si="21"/>
        <v>0.65544389999999975</v>
      </c>
      <c r="AJ7" s="299">
        <f>IF('Hot Water Calcs'!$I$10="gas",($AI7*10^6/gRE+NE_Stdby*(120-Tamb)*24*$B7)/10^5,($AI7*10^6/eRE+E_Stdby*(120-Tamb)*24*$B7)/3412)</f>
        <v>196.31373790255716</v>
      </c>
      <c r="AK7" s="33"/>
      <c r="AL7" s="33"/>
    </row>
    <row r="8" spans="1:53" x14ac:dyDescent="0.3">
      <c r="A8" s="17" t="s">
        <v>36</v>
      </c>
      <c r="B8" s="167">
        <v>31</v>
      </c>
      <c r="C8" s="168">
        <f>IF($A$2="Jacksonville",VLOOKUP(A8,Tmains!$A$3:$E$14,2,FALSE),IF($A$2="Tallahassee",VLOOKUP(A8,Tmains!$A$3:$E$14,3,FALSE),IF($A$2="Miami", VLOOKUP(A8,Tmains!$A$3:$E$14,4,FALSE), VLOOKUP(A8,Tmains!$A$3:$E$14,5,FALSE))))</f>
        <v>80.06</v>
      </c>
      <c r="D8" s="140">
        <f>IF('Hot Water Calcs'!$B$12="yes",Ifrac*(DWHRinT-C8)*DWHReff*PLC*LocF*FixF,0)</f>
        <v>0</v>
      </c>
      <c r="E8" s="220">
        <f t="shared" si="0"/>
        <v>80.06</v>
      </c>
      <c r="F8" s="176">
        <f t="shared" si="1"/>
        <v>0.55496217178460161</v>
      </c>
      <c r="G8" s="177">
        <f t="shared" si="2"/>
        <v>0.55496217178460161</v>
      </c>
      <c r="H8" s="171">
        <f t="shared" si="3"/>
        <v>41.679567650703113</v>
      </c>
      <c r="I8" s="174">
        <f t="shared" si="4"/>
        <v>35.864262712774284</v>
      </c>
      <c r="J8" s="3">
        <f t="shared" si="5"/>
        <v>5.8153049379288291</v>
      </c>
      <c r="K8" s="197">
        <f t="shared" si="6"/>
        <v>58.503606295723088</v>
      </c>
      <c r="L8" s="171">
        <f t="shared" si="7"/>
        <v>24.751312861593231</v>
      </c>
      <c r="M8" s="174">
        <f t="shared" si="8"/>
        <v>24.751312861593231</v>
      </c>
      <c r="N8" s="171">
        <f t="shared" si="9"/>
        <v>6.5420349456945779</v>
      </c>
      <c r="O8" s="174">
        <f t="shared" si="10"/>
        <v>0.72616587897209817</v>
      </c>
      <c r="P8" s="171">
        <f t="shared" si="11"/>
        <v>2.1806783152315257</v>
      </c>
      <c r="Q8" s="174">
        <f t="shared" si="12"/>
        <v>2.1806783152315257</v>
      </c>
      <c r="R8" s="190">
        <f t="shared" si="13"/>
        <v>8.7227132609261027</v>
      </c>
      <c r="S8" s="191">
        <f t="shared" si="14"/>
        <v>2.9068441942036238</v>
      </c>
      <c r="T8" s="208">
        <f t="shared" si="15"/>
        <v>3.888566185718028</v>
      </c>
      <c r="U8" s="191">
        <f t="shared" si="16"/>
        <v>3.8887507850298402</v>
      </c>
      <c r="V8" s="208">
        <f t="shared" si="17"/>
        <v>4.3169753424657529</v>
      </c>
      <c r="W8" s="191">
        <f t="shared" si="18"/>
        <v>4.3173548719475869</v>
      </c>
      <c r="X8" s="3">
        <f t="shared" si="22"/>
        <v>-5.6412879364664548E-4</v>
      </c>
      <c r="Y8" s="233">
        <f>IF('Hot Water Calcs'!$I$10="gas",
((125-$C8)*8.341*$H8*$B8/10^5/0.62)*'Hot Water Calcs'!$G$12,
((125-$C8)*8.341*$H8*$B8/3412/0.95)*'Hot Water Calcs'!$G$12)</f>
        <v>149.41818635966783</v>
      </c>
      <c r="Z8" s="235">
        <f>IF('Hot Water Calcs'!$I$10="gas",
((125-$E8)*8.341*$I8*$B8/10^5/EFuse)*'Hot Water Calcs'!$F$12,
((125-$E8)*8.341*$I8*$B8/3412/EFuse)*'Hot Water Calcs'!$F$12)</f>
        <v>137.86093134535389</v>
      </c>
      <c r="AA8" s="291">
        <f t="shared" si="23"/>
        <v>42.789789714563994</v>
      </c>
      <c r="AB8" s="292">
        <f t="shared" si="24"/>
        <v>36.781591751614272</v>
      </c>
      <c r="AC8" s="300">
        <f>IF('Hot Water Calcs'!$I$10="gas",
((125-$E8)*8.341*$K8*$B8/10^5/EFuse)*'Hot Water Calcs'!$F$12,
((125-$E8)*8.341*$K8*$B8/3412/EFuse)*'Hot Water Calcs'!$F$12)</f>
        <v>224.88575090984759</v>
      </c>
      <c r="AE8" s="208">
        <f t="shared" si="19"/>
        <v>0.48339506170019692</v>
      </c>
      <c r="AF8" s="233">
        <f>IF('Hot Water Calcs'!$I$10="gas",($AE8*10^6/gRE+NE_Stdby*(125-Tamb)*24*$B8)/10^5,($AE8*10^6/eRE+E_Stdby*(125-Tamb)*24*$B8)/3412)</f>
        <v>146.49283252259451</v>
      </c>
      <c r="AG8" s="191">
        <f t="shared" si="20"/>
        <v>0.41594979180598907</v>
      </c>
      <c r="AH8" s="235">
        <f>IF('Hot Water Calcs'!$I$10="gas",($AG8*10^6/gRE+NE_Stdby*(125-Tamb)*24*$B8)*EDeff/10^5,($AG8*10^6/eRE+E_Stdby*(125-Tamb)*24*$B8)*EDeff/3412)</f>
        <v>135.59655741500188</v>
      </c>
      <c r="AI8" s="197">
        <f t="shared" si="21"/>
        <v>0.61845092999999995</v>
      </c>
      <c r="AJ8" s="299">
        <f>IF('Hot Water Calcs'!$I$10="gas",($AI8*10^6/gRE+NE_Stdby*(120-Tamb)*24*$B8)/10^5,($AI8*10^6/eRE+E_Stdby*(120-Tamb)*24*$B8)/3412)</f>
        <v>185.61218918942245</v>
      </c>
      <c r="AK8" s="33"/>
      <c r="AL8" s="33"/>
    </row>
    <row r="9" spans="1:53" x14ac:dyDescent="0.3">
      <c r="A9" s="17" t="s">
        <v>37</v>
      </c>
      <c r="B9" s="167">
        <v>30</v>
      </c>
      <c r="C9" s="168">
        <f>IF($A$2="Jacksonville",VLOOKUP(A9,Tmains!$A$3:$E$14,2,FALSE),IF($A$2="Tallahassee",VLOOKUP(A9,Tmains!$A$3:$E$14,3,FALSE),IF($A$2="Miami", VLOOKUP(A9,Tmains!$A$3:$E$14,4,FALSE), VLOOKUP(A9,Tmains!$A$3:$E$14,5,FALSE))))</f>
        <v>83.17</v>
      </c>
      <c r="D9" s="140">
        <f>IF('Hot Water Calcs'!$B$12="yes",Ifrac*(DWHRinT-C9)*DWHReff*PLC*LocF*FixF,0)</f>
        <v>0</v>
      </c>
      <c r="E9" s="220">
        <f t="shared" si="0"/>
        <v>83.17</v>
      </c>
      <c r="F9" s="176">
        <f t="shared" si="1"/>
        <v>0.52187425292852019</v>
      </c>
      <c r="G9" s="177">
        <f t="shared" si="2"/>
        <v>0.52187425292852019</v>
      </c>
      <c r="H9" s="171">
        <f t="shared" si="3"/>
        <v>39.683781421586659</v>
      </c>
      <c r="I9" s="174">
        <f t="shared" si="4"/>
        <v>34.215229854501985</v>
      </c>
      <c r="J9" s="3">
        <f t="shared" si="5"/>
        <v>5.468551567084674</v>
      </c>
      <c r="K9" s="197">
        <f t="shared" si="6"/>
        <v>55.813620169932442</v>
      </c>
      <c r="L9" s="171">
        <f t="shared" si="7"/>
        <v>23.275591680612003</v>
      </c>
      <c r="M9" s="174">
        <f t="shared" si="8"/>
        <v>23.275591680612003</v>
      </c>
      <c r="N9" s="171">
        <f t="shared" si="9"/>
        <v>6.1519861595931582</v>
      </c>
      <c r="O9" s="174">
        <f t="shared" si="10"/>
        <v>0.68287046371484061</v>
      </c>
      <c r="P9" s="171">
        <f t="shared" si="11"/>
        <v>2.0506620531977191</v>
      </c>
      <c r="Q9" s="174">
        <f t="shared" si="12"/>
        <v>2.0506620531977191</v>
      </c>
      <c r="R9" s="190">
        <f t="shared" si="13"/>
        <v>8.2026482127908764</v>
      </c>
      <c r="S9" s="191">
        <f t="shared" si="14"/>
        <v>2.7335325169125597</v>
      </c>
      <c r="T9" s="208">
        <f t="shared" si="15"/>
        <v>3.888566185718028</v>
      </c>
      <c r="U9" s="191">
        <f t="shared" si="16"/>
        <v>3.8887507850298402</v>
      </c>
      <c r="V9" s="208">
        <f t="shared" si="17"/>
        <v>4.3169753424657529</v>
      </c>
      <c r="W9" s="191">
        <f t="shared" si="18"/>
        <v>4.3173548719475869</v>
      </c>
      <c r="X9" s="3">
        <f t="shared" si="22"/>
        <v>-5.6412879364664548E-4</v>
      </c>
      <c r="Y9" s="233">
        <f>IF('Hot Water Calcs'!$I$10="gas",
((125-$C9)*8.341*$H9*$B9/10^5/0.62)*'Hot Water Calcs'!$G$12,
((125-$C9)*8.341*$H9*$B9/3412/0.95)*'Hot Water Calcs'!$G$12)</f>
        <v>128.14676926911872</v>
      </c>
      <c r="Z9" s="235">
        <f>IF('Hot Water Calcs'!$I$10="gas",
((125-$E9)*8.341*$I9*$B9/10^5/EFuse)*'Hot Water Calcs'!$F$12,
((125-$E9)*8.341*$I9*$B9/3412/EFuse)*'Hot Water Calcs'!$F$12)</f>
        <v>118.47129077627082</v>
      </c>
      <c r="AA9" s="291">
        <f t="shared" si="23"/>
        <v>42.789789714563994</v>
      </c>
      <c r="AB9" s="292">
        <f t="shared" si="24"/>
        <v>36.781591751614272</v>
      </c>
      <c r="AC9" s="300">
        <f>IF('Hot Water Calcs'!$I$10="gas",
((125-$E9)*8.341*$K9*$B9/10^5/EFuse)*'Hot Water Calcs'!$F$12,
((125-$E9)*8.341*$K9*$B9/3412/EFuse)*'Hot Water Calcs'!$F$12)</f>
        <v>193.25638473120947</v>
      </c>
      <c r="AE9" s="208">
        <f t="shared" si="19"/>
        <v>0.41457815107202617</v>
      </c>
      <c r="AF9" s="233">
        <f>IF('Hot Water Calcs'!$I$10="gas",($AE9*10^6/gRE+NE_Stdby*(125-Tamb)*24*$B9)/10^5,($AE9*10^6/eRE+E_Stdby*(125-Tamb)*24*$B9)/3412)</f>
        <v>126.16833537457623</v>
      </c>
      <c r="AG9" s="191">
        <f t="shared" si="20"/>
        <v>0.35744796043725102</v>
      </c>
      <c r="AH9" s="235">
        <f>IF('Hot Water Calcs'!$I$10="gas",($AG9*10^6/gRE+NE_Stdby*(125-Tamb)*24*$B9)*EDeff/10^5,($AG9*10^6/eRE+E_Stdby*(125-Tamb)*24*$B9)*EDeff/3412)</f>
        <v>117.08414464821466</v>
      </c>
      <c r="AI9" s="197">
        <f t="shared" si="21"/>
        <v>0.55189754999999996</v>
      </c>
      <c r="AJ9" s="299">
        <f>IF('Hot Water Calcs'!$I$10="gas",($AI9*10^6/gRE+NE_Stdby*(120-Tamb)*24*$B9)/10^5,($AI9*10^6/eRE+E_Stdby*(120-Tamb)*24*$B9)/3412)</f>
        <v>165.96603860595698</v>
      </c>
      <c r="AK9" s="33"/>
      <c r="AL9" s="33"/>
    </row>
    <row r="10" spans="1:53" x14ac:dyDescent="0.3">
      <c r="A10" s="17" t="s">
        <v>38</v>
      </c>
      <c r="B10" s="167">
        <v>31</v>
      </c>
      <c r="C10" s="168">
        <f>IF($A$2="Jacksonville",VLOOKUP(A10,Tmains!$A$3:$E$14,2,FALSE),IF($A$2="Tallahassee",VLOOKUP(A10,Tmains!$A$3:$E$14,3,FALSE),IF($A$2="Miami", VLOOKUP(A10,Tmains!$A$3:$E$14,4,FALSE), VLOOKUP(A10,Tmains!$A$3:$E$14,5,FALSE))))</f>
        <v>84.77</v>
      </c>
      <c r="D10" s="140">
        <f>IF('Hot Water Calcs'!$B$12="yes",Ifrac*(DWHRinT-C10)*DWHReff*PLC*LocF*FixF,0)</f>
        <v>0</v>
      </c>
      <c r="E10" s="220">
        <f t="shared" si="0"/>
        <v>84.77</v>
      </c>
      <c r="F10" s="176">
        <f t="shared" si="1"/>
        <v>0.50285856326124789</v>
      </c>
      <c r="G10" s="177">
        <f t="shared" si="2"/>
        <v>0.50285856326124789</v>
      </c>
      <c r="H10" s="171">
        <f t="shared" si="3"/>
        <v>38.536799293754257</v>
      </c>
      <c r="I10" s="174">
        <f t="shared" si="4"/>
        <v>33.267527545981679</v>
      </c>
      <c r="J10" s="3">
        <f t="shared" si="5"/>
        <v>5.2692717477725779</v>
      </c>
      <c r="K10" s="197">
        <f t="shared" si="6"/>
        <v>54.267680045991973</v>
      </c>
      <c r="L10" s="171">
        <f t="shared" si="7"/>
        <v>22.427491921451658</v>
      </c>
      <c r="M10" s="174">
        <f t="shared" si="8"/>
        <v>22.427491921451658</v>
      </c>
      <c r="N10" s="171">
        <f t="shared" si="9"/>
        <v>5.9278243830891144</v>
      </c>
      <c r="O10" s="174">
        <f t="shared" si="10"/>
        <v>0.65798850652289176</v>
      </c>
      <c r="P10" s="171">
        <f t="shared" si="11"/>
        <v>1.9759414610297046</v>
      </c>
      <c r="Q10" s="174">
        <f t="shared" si="12"/>
        <v>1.9759414610297046</v>
      </c>
      <c r="R10" s="190">
        <f t="shared" si="13"/>
        <v>7.9037658441188192</v>
      </c>
      <c r="S10" s="191">
        <f t="shared" si="14"/>
        <v>2.6339299675525965</v>
      </c>
      <c r="T10" s="208">
        <f t="shared" si="15"/>
        <v>3.888566185718028</v>
      </c>
      <c r="U10" s="191">
        <f t="shared" si="16"/>
        <v>3.8887507850298402</v>
      </c>
      <c r="V10" s="208">
        <f t="shared" si="17"/>
        <v>4.3169753424657529</v>
      </c>
      <c r="W10" s="191">
        <f t="shared" si="18"/>
        <v>4.3173548719475869</v>
      </c>
      <c r="X10" s="3">
        <f t="shared" si="22"/>
        <v>-5.6412879364664548E-4</v>
      </c>
      <c r="Y10" s="233">
        <f>IF('Hot Water Calcs'!$I$10="gas",
((125-$C10)*8.341*$H10*$B10/10^5/0.62)*'Hot Water Calcs'!$G$12,
((125-$C10)*8.341*$H10*$B10/3412/0.95)*'Hot Water Calcs'!$G$12)</f>
        <v>123.67242053290425</v>
      </c>
      <c r="Z10" s="235">
        <f>IF('Hot Water Calcs'!$I$10="gas",
((125-$E10)*8.341*$I10*$B10/10^5/EFuse)*'Hot Water Calcs'!$F$12,
((125-$E10)*8.341*$I10*$B10/3412/EFuse)*'Hot Water Calcs'!$F$12)</f>
        <v>114.47661802429063</v>
      </c>
      <c r="AA10" s="291">
        <f t="shared" si="23"/>
        <v>42.789789714563994</v>
      </c>
      <c r="AB10" s="292">
        <f t="shared" si="24"/>
        <v>36.781591751614272</v>
      </c>
      <c r="AC10" s="300">
        <f>IF('Hot Water Calcs'!$I$10="gas",
((125-$E10)*8.341*$K10*$B10/10^5/EFuse)*'Hot Water Calcs'!$F$12,
((125-$E10)*8.341*$K10*$B10/3412/EFuse)*'Hot Water Calcs'!$F$12)</f>
        <v>186.74007171416093</v>
      </c>
      <c r="AE10" s="208">
        <f t="shared" si="19"/>
        <v>0.40010281753930443</v>
      </c>
      <c r="AF10" s="233">
        <f>IF('Hot Water Calcs'!$I$10="gas",($AE10*10^6/gRE+NE_Stdby*(125-Tamb)*24*$B10)/10^5,($AE10*10^6/eRE+E_Stdby*(125-Tamb)*24*$B10)/3412)</f>
        <v>122.08127210029308</v>
      </c>
      <c r="AG10" s="191">
        <f t="shared" si="20"/>
        <v>0.34539535580659758</v>
      </c>
      <c r="AH10" s="235">
        <f>IF('Hot Water Calcs'!$I$10="gas",($AG10*10^6/gRE+NE_Stdby*(125-Tamb)*24*$B10)*EDeff/10^5,($AG10*10^6/eRE+E_Stdby*(125-Tamb)*24*$B10)*EDeff/3412)</f>
        <v>113.47075245622437</v>
      </c>
      <c r="AI10" s="197">
        <f t="shared" si="21"/>
        <v>0.54551893499999993</v>
      </c>
      <c r="AJ10" s="299">
        <f>IF('Hot Water Calcs'!$I$10="gas",($AI10*10^6/gRE+NE_Stdby*(120-Tamb)*24*$B10)/10^5,($AI10*10^6/eRE+E_Stdby*(120-Tamb)*24*$B10)/3412)</f>
        <v>164.2370441132208</v>
      </c>
      <c r="AK10" s="33"/>
      <c r="AL10" s="33"/>
    </row>
    <row r="11" spans="1:53" x14ac:dyDescent="0.3">
      <c r="A11" s="17" t="s">
        <v>39</v>
      </c>
      <c r="B11" s="167">
        <v>31</v>
      </c>
      <c r="C11" s="168">
        <f>IF($A$2="Jacksonville",VLOOKUP(A11,Tmains!$A$3:$E$14,2,FALSE),IF($A$2="Tallahassee",VLOOKUP(A11,Tmains!$A$3:$E$14,3,FALSE),IF($A$2="Miami", VLOOKUP(A11,Tmains!$A$3:$E$14,4,FALSE), VLOOKUP(A11,Tmains!$A$3:$E$14,5,FALSE))))</f>
        <v>84.45</v>
      </c>
      <c r="D11" s="140">
        <f>IF('Hot Water Calcs'!$B$12="yes",Ifrac*(DWHRinT-C11)*DWHReff*PLC*LocF*FixF,0)</f>
        <v>0</v>
      </c>
      <c r="E11" s="220">
        <f t="shared" si="0"/>
        <v>84.45</v>
      </c>
      <c r="F11" s="176">
        <f t="shared" si="1"/>
        <v>0.50678175092478417</v>
      </c>
      <c r="G11" s="177">
        <f t="shared" si="2"/>
        <v>0.50678175092478417</v>
      </c>
      <c r="H11" s="171">
        <f t="shared" si="3"/>
        <v>38.773436839535897</v>
      </c>
      <c r="I11" s="174">
        <f t="shared" si="4"/>
        <v>33.463051035823376</v>
      </c>
      <c r="J11" s="3">
        <f t="shared" si="5"/>
        <v>5.3103858037125207</v>
      </c>
      <c r="K11" s="197">
        <f t="shared" si="6"/>
        <v>54.58662789005821</v>
      </c>
      <c r="L11" s="171">
        <f t="shared" si="7"/>
        <v>22.602466091245375</v>
      </c>
      <c r="M11" s="174">
        <f t="shared" si="8"/>
        <v>22.602466091245375</v>
      </c>
      <c r="N11" s="171">
        <f t="shared" si="9"/>
        <v>5.9740719150800583</v>
      </c>
      <c r="O11" s="174">
        <f t="shared" si="10"/>
        <v>0.66312198257388655</v>
      </c>
      <c r="P11" s="171">
        <f t="shared" si="11"/>
        <v>1.991357305026686</v>
      </c>
      <c r="Q11" s="174">
        <f t="shared" si="12"/>
        <v>1.991357305026686</v>
      </c>
      <c r="R11" s="190">
        <f t="shared" si="13"/>
        <v>7.9654292201067438</v>
      </c>
      <c r="S11" s="191">
        <f t="shared" si="14"/>
        <v>2.6544792876005725</v>
      </c>
      <c r="T11" s="208">
        <f t="shared" si="15"/>
        <v>3.888566185718028</v>
      </c>
      <c r="U11" s="191">
        <f t="shared" si="16"/>
        <v>3.8887507850298402</v>
      </c>
      <c r="V11" s="208">
        <f t="shared" si="17"/>
        <v>4.3169753424657529</v>
      </c>
      <c r="W11" s="191">
        <f t="shared" si="18"/>
        <v>4.3173548719475869</v>
      </c>
      <c r="X11" s="3">
        <f t="shared" si="22"/>
        <v>-5.6412879364664548E-4</v>
      </c>
      <c r="Y11" s="233">
        <f>IF('Hot Water Calcs'!$I$10="gas",
((125-$C11)*8.341*$H11*$B11/10^5/0.62)*'Hot Water Calcs'!$G$12,
((125-$C11)*8.341*$H11*$B11/3412/0.95)*'Hot Water Calcs'!$G$12)</f>
        <v>125.42160207527458</v>
      </c>
      <c r="Z11" s="235">
        <f>IF('Hot Water Calcs'!$I$10="gas",
((125-$E11)*8.341*$I11*$B11/10^5/EFuse)*'Hot Water Calcs'!$F$12,
((125-$E11)*8.341*$I11*$B11/3412/EFuse)*'Hot Water Calcs'!$F$12)</f>
        <v>116.06536117986181</v>
      </c>
      <c r="AA11" s="291">
        <f t="shared" si="23"/>
        <v>42.789789714563994</v>
      </c>
      <c r="AB11" s="292">
        <f t="shared" si="24"/>
        <v>36.781591751614272</v>
      </c>
      <c r="AC11" s="300">
        <f>IF('Hot Water Calcs'!$I$10="gas",
((125-$E11)*8.341*$K11*$B11/10^5/EFuse)*'Hot Water Calcs'!$F$12,
((125-$E11)*8.341*$K11*$B11/3412/EFuse)*'Hot Water Calcs'!$F$12)</f>
        <v>189.33171021577866</v>
      </c>
      <c r="AE11" s="208">
        <f t="shared" si="19"/>
        <v>0.40576173858632875</v>
      </c>
      <c r="AF11" s="233">
        <f>IF('Hot Water Calcs'!$I$10="gas",($AE11*10^6/gRE+NE_Stdby*(125-Tamb)*24*$B11)/10^5,($AE11*10^6/eRE+E_Stdby*(125-Tamb)*24*$B11)/3412)</f>
        <v>123.73980699098016</v>
      </c>
      <c r="AG11" s="191">
        <f t="shared" si="20"/>
        <v>0.35018886313564318</v>
      </c>
      <c r="AH11" s="235">
        <f>IF('Hot Water Calcs'!$I$10="gas",($AG11*10^6/gRE+NE_Stdby*(125-Tamb)*24*$B11)*EDeff/10^5,($AG11*10^6/eRE+E_Stdby*(125-Tamb)*24*$B11)*EDeff/3412)</f>
        <v>114.97399185894382</v>
      </c>
      <c r="AI11" s="197">
        <f t="shared" si="21"/>
        <v>0.55047397499999984</v>
      </c>
      <c r="AJ11" s="299">
        <f>IF('Hot Water Calcs'!$I$10="gas",($AI11*10^6/gRE+NE_Stdby*(120-Tamb)*24*$B11)/10^5,($AI11*10^6/eRE+E_Stdby*(120-Tamb)*24*$B11)/3412)</f>
        <v>165.68928326914107</v>
      </c>
      <c r="AK11" s="33"/>
      <c r="AL11" s="33"/>
    </row>
    <row r="12" spans="1:53" x14ac:dyDescent="0.3">
      <c r="A12" s="17" t="s">
        <v>40</v>
      </c>
      <c r="B12" s="167">
        <v>30</v>
      </c>
      <c r="C12" s="168">
        <f>IF($A$2="Jacksonville",VLOOKUP(A12,Tmains!$A$3:$E$14,2,FALSE),IF($A$2="Tallahassee",VLOOKUP(A12,Tmains!$A$3:$E$14,3,FALSE),IF($A$2="Miami", VLOOKUP(A12,Tmains!$A$3:$E$14,4,FALSE), VLOOKUP(A12,Tmains!$A$3:$E$14,5,FALSE))))</f>
        <v>82.29</v>
      </c>
      <c r="D12" s="140">
        <f>IF('Hot Water Calcs'!$B$12="yes",Ifrac*(DWHRinT-C12)*DWHReff*PLC*LocF*FixF,0)</f>
        <v>0</v>
      </c>
      <c r="E12" s="220">
        <f t="shared" si="0"/>
        <v>82.29</v>
      </c>
      <c r="F12" s="176">
        <f t="shared" si="1"/>
        <v>0.53172559119644103</v>
      </c>
      <c r="G12" s="177">
        <f t="shared" si="2"/>
        <v>0.53172559119644103</v>
      </c>
      <c r="H12" s="171">
        <f t="shared" si="3"/>
        <v>40.277991209727226</v>
      </c>
      <c r="I12" s="174">
        <f t="shared" si="4"/>
        <v>34.706200005039911</v>
      </c>
      <c r="J12" s="3">
        <f t="shared" si="5"/>
        <v>5.5717912046873153</v>
      </c>
      <c r="K12" s="197">
        <f t="shared" si="6"/>
        <v>56.614515607824487</v>
      </c>
      <c r="L12" s="171">
        <f t="shared" si="7"/>
        <v>23.714961367361269</v>
      </c>
      <c r="M12" s="174">
        <f t="shared" si="8"/>
        <v>23.714961367361269</v>
      </c>
      <c r="N12" s="171">
        <f t="shared" si="9"/>
        <v>6.2681162356366302</v>
      </c>
      <c r="O12" s="174">
        <f t="shared" si="10"/>
        <v>0.69576090215566611</v>
      </c>
      <c r="P12" s="171">
        <f t="shared" si="11"/>
        <v>2.0893720785455434</v>
      </c>
      <c r="Q12" s="174">
        <f t="shared" si="12"/>
        <v>2.0893720785455434</v>
      </c>
      <c r="R12" s="190">
        <f t="shared" si="13"/>
        <v>8.3574883141821736</v>
      </c>
      <c r="S12" s="191">
        <f t="shared" si="14"/>
        <v>2.7851329807012095</v>
      </c>
      <c r="T12" s="208">
        <f t="shared" si="15"/>
        <v>3.888566185718028</v>
      </c>
      <c r="U12" s="191">
        <f t="shared" si="16"/>
        <v>3.8887507850298402</v>
      </c>
      <c r="V12" s="208">
        <f t="shared" si="17"/>
        <v>4.3169753424657529</v>
      </c>
      <c r="W12" s="191">
        <f t="shared" si="18"/>
        <v>4.3173548719475869</v>
      </c>
      <c r="X12" s="3">
        <f t="shared" si="22"/>
        <v>-5.6412879364664548E-4</v>
      </c>
      <c r="Y12" s="233">
        <f>IF('Hot Water Calcs'!$I$10="gas",
((125-$C12)*8.341*$H12*$B12/10^5/0.62)*'Hot Water Calcs'!$G$12,
((125-$C12)*8.341*$H12*$B12/3412/0.95)*'Hot Water Calcs'!$G$12)</f>
        <v>132.80184918026558</v>
      </c>
      <c r="Z12" s="235">
        <f>IF('Hot Water Calcs'!$I$10="gas",
((125-$E12)*8.341*$I12*$B12/10^5/EFuse)*'Hot Water Calcs'!$F$12,
((125-$E12)*8.341*$I12*$B12/3412/EFuse)*'Hot Water Calcs'!$F$12)</f>
        <v>122.69939756125862</v>
      </c>
      <c r="AA12" s="291">
        <f t="shared" si="23"/>
        <v>42.789789714563994</v>
      </c>
      <c r="AB12" s="292">
        <f t="shared" si="24"/>
        <v>36.781591751614272</v>
      </c>
      <c r="AC12" s="300">
        <f>IF('Hot Water Calcs'!$I$10="gas",
((125-$E12)*8.341*$K12*$B12/10^5/EFuse)*'Hot Water Calcs'!$F$12,
((125-$E12)*8.341*$K12*$B12/3412/EFuse)*'Hot Water Calcs'!$F$12)</f>
        <v>200.15348719519224</v>
      </c>
      <c r="AE12" s="208">
        <f t="shared" si="19"/>
        <v>0.42963818289072042</v>
      </c>
      <c r="AF12" s="233">
        <f>IF('Hot Water Calcs'!$I$10="gas",($AE12*10^6/gRE+NE_Stdby*(125-Tamb)*24*$B12)/10^5,($AE12*10^6/eRE+E_Stdby*(125-Tamb)*24*$B12)/3412)</f>
        <v>130.58217822882426</v>
      </c>
      <c r="AG12" s="191">
        <f t="shared" si="20"/>
        <v>0.37020487510325967</v>
      </c>
      <c r="AH12" s="235">
        <f>IF('Hot Water Calcs'!$I$10="gas",($AG12*10^6/gRE+NE_Stdby*(125-Tamb)*24*$B12)*EDeff/10^5,($AG12*10^6/eRE+E_Stdby*(125-Tamb)*24*$B12)*EDeff/3412)</f>
        <v>121.08470112319392</v>
      </c>
      <c r="AI12" s="197">
        <f t="shared" si="21"/>
        <v>0.5650843499999999</v>
      </c>
      <c r="AJ12" s="299">
        <f>IF('Hot Water Calcs'!$I$10="gas",($AI12*10^6/gRE+NE_Stdby*(120-Tamb)*24*$B12)/10^5,($AI12*10^6/eRE+E_Stdby*(120-Tamb)*24*$B12)/3412)</f>
        <v>169.8308686176803</v>
      </c>
      <c r="AK12" s="33"/>
      <c r="AL12" s="33"/>
    </row>
    <row r="13" spans="1:53" x14ac:dyDescent="0.3">
      <c r="A13" s="17" t="s">
        <v>41</v>
      </c>
      <c r="B13" s="166">
        <v>31</v>
      </c>
      <c r="C13" s="168">
        <f>IF($A$2="Jacksonville",VLOOKUP(A13,Tmains!$A$3:$E$14,2,FALSE),IF($A$2="Tallahassee",VLOOKUP(A13,Tmains!$A$3:$E$14,3,FALSE),IF($A$2="Miami", VLOOKUP(A13,Tmains!$A$3:$E$14,4,FALSE), VLOOKUP(A13,Tmains!$A$3:$E$14,5,FALSE))))</f>
        <v>78.86</v>
      </c>
      <c r="D13" s="140">
        <f>IF('Hot Water Calcs'!$B$12="yes",Ifrac*(DWHRinT-C13)*DWHReff*PLC*LocF*FixF,0)</f>
        <v>0</v>
      </c>
      <c r="E13" s="220">
        <f t="shared" si="0"/>
        <v>78.86</v>
      </c>
      <c r="F13" s="176">
        <f t="shared" si="1"/>
        <v>0.56653662765496315</v>
      </c>
      <c r="G13" s="177">
        <f t="shared" si="2"/>
        <v>0.56653662765496315</v>
      </c>
      <c r="H13" s="171">
        <f t="shared" si="3"/>
        <v>42.37771188080896</v>
      </c>
      <c r="I13" s="174">
        <f t="shared" si="4"/>
        <v>36.441109450396795</v>
      </c>
      <c r="J13" s="3">
        <f t="shared" si="5"/>
        <v>5.9366024304121652</v>
      </c>
      <c r="K13" s="197">
        <f t="shared" si="6"/>
        <v>59.444587982733182</v>
      </c>
      <c r="L13" s="171">
        <f t="shared" si="7"/>
        <v>25.267533593411358</v>
      </c>
      <c r="M13" s="174">
        <f t="shared" si="8"/>
        <v>25.267533593411358</v>
      </c>
      <c r="N13" s="171">
        <f t="shared" si="9"/>
        <v>6.6784775694103695</v>
      </c>
      <c r="O13" s="174">
        <f t="shared" si="10"/>
        <v>0.74131101020455104</v>
      </c>
      <c r="P13" s="171">
        <f t="shared" si="11"/>
        <v>2.2261591898034565</v>
      </c>
      <c r="Q13" s="174">
        <f t="shared" si="12"/>
        <v>2.2261591898034565</v>
      </c>
      <c r="R13" s="190">
        <f t="shared" si="13"/>
        <v>8.904636759213826</v>
      </c>
      <c r="S13" s="191">
        <f t="shared" si="14"/>
        <v>2.9674702000080075</v>
      </c>
      <c r="T13" s="208">
        <f t="shared" si="15"/>
        <v>3.888566185718028</v>
      </c>
      <c r="U13" s="191">
        <f t="shared" si="16"/>
        <v>3.8887507850298402</v>
      </c>
      <c r="V13" s="208">
        <f t="shared" si="17"/>
        <v>4.3169753424657529</v>
      </c>
      <c r="W13" s="191">
        <f t="shared" si="18"/>
        <v>4.3173548719475869</v>
      </c>
      <c r="X13" s="3">
        <f t="shared" si="22"/>
        <v>-5.6412879364664548E-4</v>
      </c>
      <c r="Y13" s="233">
        <f>IF('Hot Water Calcs'!$I$10="gas",
((125-$C13)*8.341*$H13*$B13/10^5/0.62)*'Hot Water Calcs'!$G$12,
((125-$C13)*8.341*$H13*$B13/3412/0.95)*'Hot Water Calcs'!$G$12)</f>
        <v>155.97761714355667</v>
      </c>
      <c r="Z13" s="235">
        <f>IF('Hot Water Calcs'!$I$10="gas",
((125-$E13)*8.341*$I13*$B13/10^5/EFuse)*'Hot Water Calcs'!$F$12,
((125-$E13)*8.341*$I13*$B13/3412/EFuse)*'Hot Water Calcs'!$F$12)</f>
        <v>143.81871817874583</v>
      </c>
      <c r="AA13" s="291">
        <f t="shared" si="23"/>
        <v>42.789789714563994</v>
      </c>
      <c r="AB13" s="292">
        <f t="shared" si="24"/>
        <v>36.781591751614272</v>
      </c>
      <c r="AC13" s="300">
        <f>IF('Hot Water Calcs'!$I$10="gas",
((125-$E13)*8.341*$K13*$B13/10^5/EFuse)*'Hot Water Calcs'!$F$12,
((125-$E13)*8.341*$K13*$B13/3412/EFuse)*'Hot Water Calcs'!$F$12)</f>
        <v>234.6043952909144</v>
      </c>
      <c r="AE13" s="208">
        <f t="shared" si="19"/>
        <v>0.50461601562653902</v>
      </c>
      <c r="AF13" s="233">
        <f>IF('Hot Water Calcs'!$I$10="gas",($AE13*10^6/gRE+NE_Stdby*(125-Tamb)*24*$B13)/10^5,($AE13*10^6/eRE+E_Stdby*(125-Tamb)*24*$B13)/3412)</f>
        <v>152.71233836267132</v>
      </c>
      <c r="AG13" s="191">
        <f t="shared" si="20"/>
        <v>0.43392544428991053</v>
      </c>
      <c r="AH13" s="235">
        <f>IF('Hot Water Calcs'!$I$10="gas",($AG13*10^6/gRE+NE_Stdby*(125-Tamb)*24*$B13)*EDeff/10^5,($AG13*10^6/eRE+E_Stdby*(125-Tamb)*24*$B13)*EDeff/3412)</f>
        <v>141.23370517520001</v>
      </c>
      <c r="AI13" s="197">
        <f t="shared" si="21"/>
        <v>0.63703232999999992</v>
      </c>
      <c r="AJ13" s="299">
        <f>IF('Hot Water Calcs'!$I$10="gas",($AI13*10^6/gRE+NE_Stdby*(120-Tamb)*24*$B13)/10^5,($AI13*10^6/eRE+E_Stdby*(120-Tamb)*24*$B13)/3412)</f>
        <v>191.0580860241235</v>
      </c>
      <c r="AK13" s="33"/>
      <c r="AL13" s="33"/>
    </row>
    <row r="14" spans="1:53" x14ac:dyDescent="0.3">
      <c r="A14" s="17" t="s">
        <v>42</v>
      </c>
      <c r="B14" s="167">
        <v>30</v>
      </c>
      <c r="C14" s="168">
        <f>IF($A$2="Jacksonville",VLOOKUP(A14,Tmains!$A$3:$E$14,2,FALSE),IF($A$2="Tallahassee",VLOOKUP(A14,Tmains!$A$3:$E$14,3,FALSE),IF($A$2="Miami", VLOOKUP(A14,Tmains!$A$3:$E$14,4,FALSE), VLOOKUP(A14,Tmains!$A$3:$E$14,5,FALSE))))</f>
        <v>75.05</v>
      </c>
      <c r="D14" s="140">
        <f>IF('Hot Water Calcs'!$B$12="yes",Ifrac*(DWHRinT-C14)*DWHReff*PLC*LocF*FixF,0)</f>
        <v>0</v>
      </c>
      <c r="E14" s="220">
        <f t="shared" si="0"/>
        <v>75.05</v>
      </c>
      <c r="F14" s="176">
        <f t="shared" si="1"/>
        <v>0.59959959959959963</v>
      </c>
      <c r="G14" s="177">
        <f t="shared" si="2"/>
        <v>0.59959959959959963</v>
      </c>
      <c r="H14" s="171">
        <f t="shared" si="3"/>
        <v>44.371993370309205</v>
      </c>
      <c r="I14" s="174">
        <f t="shared" si="4"/>
        <v>38.088899006639004</v>
      </c>
      <c r="J14" s="3">
        <f t="shared" si="5"/>
        <v>6.2830943636702017</v>
      </c>
      <c r="K14" s="197">
        <f t="shared" si="6"/>
        <v>62.132545971125396</v>
      </c>
      <c r="L14" s="171">
        <f t="shared" si="7"/>
        <v>26.742142142142143</v>
      </c>
      <c r="M14" s="174">
        <f t="shared" si="8"/>
        <v>26.742142142142143</v>
      </c>
      <c r="N14" s="171">
        <f t="shared" si="9"/>
        <v>7.0682322749874613</v>
      </c>
      <c r="O14" s="174">
        <f t="shared" si="10"/>
        <v>0.78457378252360832</v>
      </c>
      <c r="P14" s="171">
        <f t="shared" si="11"/>
        <v>2.3560774249958203</v>
      </c>
      <c r="Q14" s="174">
        <f t="shared" si="12"/>
        <v>2.3560774249958203</v>
      </c>
      <c r="R14" s="190">
        <f t="shared" si="13"/>
        <v>9.4243096999832812</v>
      </c>
      <c r="S14" s="191">
        <f t="shared" si="14"/>
        <v>3.1406512075194284</v>
      </c>
      <c r="T14" s="208">
        <f t="shared" si="15"/>
        <v>3.888566185718028</v>
      </c>
      <c r="U14" s="191">
        <f t="shared" si="16"/>
        <v>3.8887507850298402</v>
      </c>
      <c r="V14" s="208">
        <f t="shared" si="17"/>
        <v>4.3169753424657529</v>
      </c>
      <c r="W14" s="191">
        <f t="shared" si="18"/>
        <v>4.3173548719475869</v>
      </c>
      <c r="X14" s="3">
        <f t="shared" si="22"/>
        <v>-5.6412879364664548E-4</v>
      </c>
      <c r="Y14" s="233">
        <f>IF('Hot Water Calcs'!$I$10="gas",
((125-$C14)*8.341*$H14*$B14/10^5/0.62)*'Hot Water Calcs'!$G$12,
((125-$C14)*8.341*$H14*$B14/3412/0.95)*'Hot Water Calcs'!$G$12)</f>
        <v>171.1004611765197</v>
      </c>
      <c r="Z14" s="235">
        <f>IF('Hot Water Calcs'!$I$10="gas",
((125-$E14)*8.341*$I14*$B14/10^5/EFuse)*'Hot Water Calcs'!$F$12,
((125-$E14)*8.341*$I14*$B14/3412/EFuse)*'Hot Water Calcs'!$F$12)</f>
        <v>157.48518520138566</v>
      </c>
      <c r="AA14" s="291">
        <f t="shared" si="23"/>
        <v>42.789789714563994</v>
      </c>
      <c r="AB14" s="292">
        <f t="shared" si="24"/>
        <v>36.781591751614272</v>
      </c>
      <c r="AC14" s="300">
        <f>IF('Hot Water Calcs'!$I$10="gas",
((125-$E14)*8.341*$K14*$B14/10^5/EFuse)*'Hot Water Calcs'!$F$12,
((125-$E14)*8.341*$K14*$B14/3412/EFuse)*'Hot Water Calcs'!$F$12)</f>
        <v>256.89783019432372</v>
      </c>
      <c r="AE14" s="208">
        <f t="shared" si="19"/>
        <v>0.55354117194452435</v>
      </c>
      <c r="AF14" s="233">
        <f>IF('Hot Water Calcs'!$I$10="gas",($AE14*10^6/gRE+NE_Stdby*(125-Tamb)*24*$B14)/10^5,($AE14*10^6/eRE+E_Stdby*(125-Tamb)*24*$B14)/3412)</f>
        <v>166.896067166047</v>
      </c>
      <c r="AG14" s="191">
        <f t="shared" si="20"/>
        <v>0.47515949121905909</v>
      </c>
      <c r="AH14" s="235">
        <f>IF('Hot Water Calcs'!$I$10="gas",($AG14*10^6/gRE+NE_Stdby*(125-Tamb)*24*$B14)*EDeff/10^5,($AG14*10^6/eRE+E_Stdby*(125-Tamb)*24*$B14)*EDeff/3412)</f>
        <v>153.99837030370549</v>
      </c>
      <c r="AI14" s="197">
        <f t="shared" si="21"/>
        <v>0.67357575000000003</v>
      </c>
      <c r="AJ14" s="299">
        <f>IF('Hot Water Calcs'!$I$10="gas",($AI14*10^6/gRE+NE_Stdby*(120-Tamb)*24*$B14)/10^5,($AI14*10^6/eRE+E_Stdby*(120-Tamb)*24*$B14)/3412)</f>
        <v>201.6278791686768</v>
      </c>
      <c r="AK14" s="33"/>
    </row>
    <row r="15" spans="1:53" x14ac:dyDescent="0.3">
      <c r="A15" s="145" t="s">
        <v>43</v>
      </c>
      <c r="B15" s="169">
        <v>31</v>
      </c>
      <c r="C15" s="170">
        <f>IF($A$2="Jacksonville",VLOOKUP(A15,Tmains!$A$3:$E$14,2,FALSE),IF($A$2="Tallahassee",VLOOKUP(A15,Tmains!$A$3:$E$14,3,FALSE),IF($A$2="Miami", VLOOKUP(A15,Tmains!$A$3:$E$14,4,FALSE), VLOOKUP(A15,Tmains!$A$3:$E$14,5,FALSE))))</f>
        <v>71.849999999999994</v>
      </c>
      <c r="D15" s="173">
        <f>IF('Hot Water Calcs'!$B$12="yes",Ifrac*(DWHRinT-C15)*DWHReff*PLC*LocF*FixF,0)</f>
        <v>0</v>
      </c>
      <c r="E15" s="221">
        <f t="shared" si="0"/>
        <v>71.849999999999994</v>
      </c>
      <c r="F15" s="178">
        <f t="shared" si="1"/>
        <v>0.62370649106302922</v>
      </c>
      <c r="G15" s="179">
        <f t="shared" si="2"/>
        <v>0.62370649106302922</v>
      </c>
      <c r="H15" s="172">
        <f t="shared" si="3"/>
        <v>45.826064936997511</v>
      </c>
      <c r="I15" s="175">
        <f t="shared" si="4"/>
        <v>39.290336193030456</v>
      </c>
      <c r="J15" s="37">
        <f t="shared" si="5"/>
        <v>6.5357287439670557</v>
      </c>
      <c r="K15" s="199">
        <f t="shared" si="6"/>
        <v>64.092391310888942</v>
      </c>
      <c r="L15" s="172">
        <f t="shared" si="7"/>
        <v>27.817309501411103</v>
      </c>
      <c r="M15" s="175">
        <f t="shared" si="8"/>
        <v>27.817309501411103</v>
      </c>
      <c r="N15" s="172">
        <f t="shared" si="9"/>
        <v>7.3524104305519717</v>
      </c>
      <c r="O15" s="175">
        <f t="shared" si="10"/>
        <v>0.81611755779126893</v>
      </c>
      <c r="P15" s="172">
        <f t="shared" si="11"/>
        <v>2.4508034768506572</v>
      </c>
      <c r="Q15" s="175">
        <f t="shared" si="12"/>
        <v>2.4508034768506572</v>
      </c>
      <c r="R15" s="172">
        <f t="shared" si="13"/>
        <v>9.803213907402629</v>
      </c>
      <c r="S15" s="194">
        <f t="shared" si="14"/>
        <v>3.2669210346419262</v>
      </c>
      <c r="T15" s="209">
        <f t="shared" si="15"/>
        <v>3.888566185718028</v>
      </c>
      <c r="U15" s="194">
        <f t="shared" si="16"/>
        <v>3.8887507850298402</v>
      </c>
      <c r="V15" s="209">
        <f t="shared" si="17"/>
        <v>4.3169753424657529</v>
      </c>
      <c r="W15" s="194">
        <f t="shared" si="18"/>
        <v>4.3173548719475869</v>
      </c>
      <c r="X15" s="37">
        <f t="shared" si="22"/>
        <v>-5.6412879364664548E-4</v>
      </c>
      <c r="Y15" s="237">
        <f>IF('Hot Water Calcs'!$I$10="gas",
((125-$C15)*8.341*$H15*$B15/10^5/0.62)*'Hot Water Calcs'!$G$12,
((125-$C15)*8.341*$H15*$B15/3412/0.95)*'Hot Water Calcs'!$G$12)</f>
        <v>194.29562530610727</v>
      </c>
      <c r="Z15" s="235">
        <f>IF('Hot Water Calcs'!$I$10="gas",
((125-$E15)*8.341*$I15*$B15/10^5/EFuse)*'Hot Water Calcs'!$F$12,
((125-$E15)*8.341*$I15*$B15/3412/EFuse)*'Hot Water Calcs'!$F$12)</f>
        <v>178.62212293047702</v>
      </c>
      <c r="AA15" s="291">
        <f t="shared" si="23"/>
        <v>42.789789714563994</v>
      </c>
      <c r="AB15" s="292">
        <f t="shared" si="24"/>
        <v>36.781591751614272</v>
      </c>
      <c r="AC15" s="301">
        <f>IF('Hot Water Calcs'!$I$10="gas",
((125-$E15)*8.341*$K15*$B15/10^5/EFuse)*'Hot Water Calcs'!$F$12,
((125-$E15)*8.341*$K15*$B15/3412/EFuse)*'Hot Water Calcs'!$F$12)</f>
        <v>291.37747621697895</v>
      </c>
      <c r="AE15" s="208">
        <f t="shared" si="19"/>
        <v>0.62858175481292089</v>
      </c>
      <c r="AF15" s="306">
        <f>IF('Hot Water Calcs'!$I$10="gas",($AE15*10^6/gRE+NE_Stdby*(125-Tamb)*24*$B15)/10^5,($AE15*10^6/eRE+E_Stdby*(125-Tamb)*24*$B15)/3412)</f>
        <v>189.04461831178676</v>
      </c>
      <c r="AG15" s="191">
        <f t="shared" si="20"/>
        <v>0.53893321421681817</v>
      </c>
      <c r="AH15" s="307">
        <f>IF('Hot Water Calcs'!$I$10="gas",($AG15*10^6/gRE+NE_Stdby*(125-Tamb)*24*$B15)*EDeff/10^5,($AG15*10^6/eRE+E_Stdby*(125-Tamb)*24*$B15)*EDeff/3412)</f>
        <v>174.16404334102393</v>
      </c>
      <c r="AI15" s="199">
        <f t="shared" si="21"/>
        <v>0.74557867500000008</v>
      </c>
      <c r="AJ15" s="301">
        <f>IF('Hot Water Calcs'!$I$10="gas",($AI15*10^6/gRE+NE_Stdby*(120-Tamb)*24*$B15)/10^5,($AI15*10^6/eRE+E_Stdby*(120-Tamb)*24*$B15)/3412)</f>
        <v>222.87120003350219</v>
      </c>
      <c r="AK15" s="33"/>
      <c r="AL15" s="326" t="s">
        <v>220</v>
      </c>
      <c r="AM15" s="2" t="s">
        <v>369</v>
      </c>
      <c r="AN15" s="2" t="s">
        <v>368</v>
      </c>
    </row>
    <row r="16" spans="1:53" x14ac:dyDescent="0.3">
      <c r="B16" s="180" t="s">
        <v>207</v>
      </c>
      <c r="C16" s="181">
        <f t="shared" ref="C16:F16" si="25">SUMPRODUCT($B$4:$B$15,C4:C15)/365</f>
        <v>77.536684931506855</v>
      </c>
      <c r="D16" s="183">
        <f>SUMPRODUCT($B$4:$B$15,D4:D15)/365</f>
        <v>0</v>
      </c>
      <c r="E16" s="222">
        <f t="shared" si="25"/>
        <v>77.536684931506855</v>
      </c>
      <c r="F16" s="182">
        <f t="shared" si="25"/>
        <v>0.57336842042252456</v>
      </c>
      <c r="G16" s="182">
        <f t="shared" ref="G16:M16" si="26">SUMPRODUCT($B$4:$B$15,G4:G15)/365</f>
        <v>0.57336842042252456</v>
      </c>
      <c r="H16" s="184">
        <f t="shared" si="26"/>
        <v>42.789789714563994</v>
      </c>
      <c r="I16" s="185">
        <f t="shared" si="26"/>
        <v>36.781591751614272</v>
      </c>
      <c r="J16" s="183">
        <f t="shared" si="26"/>
        <v>6.0081979629497271</v>
      </c>
      <c r="K16" s="198">
        <f t="shared" si="26"/>
        <v>59.999999999999993</v>
      </c>
      <c r="L16" s="184">
        <f t="shared" si="26"/>
        <v>25.572231550844592</v>
      </c>
      <c r="M16" s="185">
        <f t="shared" si="26"/>
        <v>25.572231550844592</v>
      </c>
      <c r="N16" s="184">
        <f t="shared" ref="N16" si="27">SUMPRODUCT($B$4:$B$15,N4:N15)/365</f>
        <v>6.7590124766517166</v>
      </c>
      <c r="O16" s="185">
        <f>SUMPRODUCT($B$4:$B$15,O4:O15)/365</f>
        <v>0.75025038490834073</v>
      </c>
      <c r="P16" s="184">
        <f>SUMPRODUCT($B$4:$B$15,P4:P15)/365</f>
        <v>2.2530041588839054</v>
      </c>
      <c r="Q16" s="185">
        <f t="shared" ref="Q16" si="28">SUMPRODUCT($B$4:$B$15,Q4:Q15)/365</f>
        <v>2.2530041588839054</v>
      </c>
      <c r="R16" s="184">
        <f>SUMPRODUCT($B$4:$B$15,R4:R15)/365</f>
        <v>9.0120166355356215</v>
      </c>
      <c r="S16" s="185">
        <f>SUMPRODUCT($B$4:$B$15,S4:S15)/365</f>
        <v>3.003254543792246</v>
      </c>
      <c r="T16" s="184">
        <f t="shared" ref="T16:W16" si="29">SUMPRODUCT($B$4:$B$15,T4:T15)/365</f>
        <v>3.888566185718028</v>
      </c>
      <c r="U16" s="185">
        <f t="shared" si="29"/>
        <v>3.8887507850298402</v>
      </c>
      <c r="V16" s="184">
        <f t="shared" si="29"/>
        <v>4.3169753424657529</v>
      </c>
      <c r="W16" s="185">
        <f t="shared" si="29"/>
        <v>4.317354871947586</v>
      </c>
      <c r="X16" s="183">
        <f>SUMPRODUCT($B$4:$B$15,X4:X15)/365</f>
        <v>-5.6412879364664548E-4</v>
      </c>
      <c r="Y16" s="234">
        <f>SUM(Y4:Y15)</f>
        <v>1921.6792196721499</v>
      </c>
      <c r="Z16" s="236">
        <f>SUM(Z4:Z15)</f>
        <v>1770.7061607711639</v>
      </c>
      <c r="AA16" s="293">
        <f t="shared" si="23"/>
        <v>42.789789714563994</v>
      </c>
      <c r="AB16" s="294">
        <f t="shared" si="24"/>
        <v>36.781591751614272</v>
      </c>
      <c r="AC16" s="299">
        <f>SUM(AC4:AC15)</f>
        <v>2888.465794621492</v>
      </c>
      <c r="AE16" s="323">
        <f t="shared" ref="AE16:AJ16" si="30">SUM(AE4:AE15)</f>
        <v>6.2169824677523273</v>
      </c>
      <c r="AF16" s="233">
        <f t="shared" si="30"/>
        <v>1878.819562329719</v>
      </c>
      <c r="AG16" s="322">
        <f t="shared" si="30"/>
        <v>5.3425205512161202</v>
      </c>
      <c r="AH16" s="235">
        <f t="shared" si="30"/>
        <v>1736.106494795454</v>
      </c>
      <c r="AI16" s="321">
        <f t="shared" si="30"/>
        <v>7.7418054449999998</v>
      </c>
      <c r="AJ16" s="316">
        <f t="shared" si="30"/>
        <v>2320.2651695885766</v>
      </c>
      <c r="AK16" s="326" t="s">
        <v>370</v>
      </c>
      <c r="AL16" s="327">
        <v>69</v>
      </c>
      <c r="AM16">
        <v>73</v>
      </c>
      <c r="AN16">
        <v>77</v>
      </c>
    </row>
    <row r="17" spans="1:40" x14ac:dyDescent="0.3">
      <c r="A17" s="53"/>
      <c r="I17" s="211"/>
      <c r="R17" s="41"/>
      <c r="S17" s="41"/>
      <c r="T17" s="214"/>
      <c r="U17" s="232" t="str">
        <f>CONCATENATE("RD Avg ", "(",ROUND($H$16,1)," ","gpd)")</f>
        <v>RD Avg (42.8 gpd)</v>
      </c>
      <c r="V17" s="214"/>
      <c r="W17" s="232" t="str">
        <f>CONCATENATE("RD Tot ", "(",ROUND($AF$16,0)," ",$Z$3,")")</f>
        <v>RD Tot (1879 kWh)</v>
      </c>
      <c r="Y17" s="315">
        <f>IF('Hot Water Calcs'!$I$10="gas",Y16/10,Y16/293.08)</f>
        <v>6.5568418850557864</v>
      </c>
      <c r="Z17" s="314">
        <f>IF('Hot Water Calcs'!$I$10="gas",Z16/10,Z16/293.08)</f>
        <v>6.0417161210971884</v>
      </c>
      <c r="AE17" s="309" t="s">
        <v>353</v>
      </c>
      <c r="AF17" s="331">
        <f>IF('Hot Water Calcs'!$I$10="gas",AF16/10,AF16/293.08)</f>
        <v>6.4106031197274431</v>
      </c>
      <c r="AG17" s="308" t="s">
        <v>353</v>
      </c>
      <c r="AH17" s="330">
        <f>IF('Hot Water Calcs'!$I$10="gas",AH16/10,AH16/293.08)</f>
        <v>5.9236607574568518</v>
      </c>
      <c r="AI17" s="310" t="s">
        <v>353</v>
      </c>
      <c r="AJ17" s="332">
        <f>IF('Hot Water Calcs'!$I$10="gas",AJ16/10,AJ16/293.08)</f>
        <v>7.916832160463275</v>
      </c>
      <c r="AK17" s="326" t="s">
        <v>371</v>
      </c>
      <c r="AL17" s="3">
        <v>7.17</v>
      </c>
      <c r="AM17" s="3">
        <v>6.41</v>
      </c>
      <c r="AN17" s="3">
        <v>5.42</v>
      </c>
    </row>
    <row r="18" spans="1:40" x14ac:dyDescent="0.3">
      <c r="F18" s="201"/>
      <c r="R18" s="203"/>
      <c r="S18" s="130"/>
      <c r="T18" s="128"/>
      <c r="U18" s="232" t="str">
        <f>CONCATENATE("PD Avg ", "(",ROUND($I$16,1)," ","gpd)")</f>
        <v>PD Avg (36.8 gpd)</v>
      </c>
      <c r="V18" s="128"/>
      <c r="W18" s="232" t="str">
        <f>CONCATENATE("PD Tot ", "(",ROUND($AH$16,0)," ",$Z$3,")")</f>
        <v>PD Tot (1736 kWh)</v>
      </c>
    </row>
    <row r="19" spans="1:40" x14ac:dyDescent="0.3">
      <c r="R19" s="203"/>
      <c r="S19" s="130"/>
      <c r="T19" s="128"/>
      <c r="U19" s="130"/>
      <c r="V19" s="128"/>
      <c r="AC19" s="2"/>
      <c r="AD19" s="2"/>
    </row>
    <row r="20" spans="1:40" x14ac:dyDescent="0.3">
      <c r="R20" s="203"/>
      <c r="S20" s="130"/>
      <c r="T20" s="128"/>
      <c r="U20" s="130"/>
      <c r="V20" s="128"/>
      <c r="X20" s="1" t="s">
        <v>133</v>
      </c>
      <c r="Y20" t="s">
        <v>278</v>
      </c>
      <c r="Z20" s="2" t="s">
        <v>275</v>
      </c>
      <c r="AA20" s="2" t="s">
        <v>276</v>
      </c>
      <c r="AB20" s="2" t="s">
        <v>211</v>
      </c>
      <c r="AC20" s="2" t="s">
        <v>277</v>
      </c>
      <c r="AD20" s="38"/>
    </row>
    <row r="21" spans="1:40" x14ac:dyDescent="0.3">
      <c r="R21" s="203"/>
      <c r="S21" s="130"/>
      <c r="T21" s="128"/>
      <c r="U21" s="130"/>
      <c r="V21" s="128"/>
      <c r="X21" s="1" t="s">
        <v>28</v>
      </c>
      <c r="Y21" s="245" t="s">
        <v>279</v>
      </c>
      <c r="Z21" s="38">
        <v>32.100248388820923</v>
      </c>
      <c r="AA21" s="43">
        <v>1283.1033095226248</v>
      </c>
      <c r="AB21" s="38">
        <v>50</v>
      </c>
      <c r="AC21" s="43">
        <v>1729.8733400972635</v>
      </c>
      <c r="AD21" s="38"/>
    </row>
    <row r="22" spans="1:40" x14ac:dyDescent="0.3">
      <c r="R22" s="203"/>
      <c r="S22" s="130"/>
      <c r="T22" s="128"/>
      <c r="U22" s="130"/>
      <c r="V22" s="128"/>
      <c r="X22" s="1" t="s">
        <v>28</v>
      </c>
      <c r="Y22" s="245" t="s">
        <v>280</v>
      </c>
      <c r="Z22" s="38">
        <v>40.092095825935317</v>
      </c>
      <c r="AA22" s="43">
        <v>1589.6090920737231</v>
      </c>
      <c r="AB22" s="38">
        <v>60.000000000000007</v>
      </c>
      <c r="AC22" s="43">
        <v>2066.4663632508395</v>
      </c>
      <c r="AD22" s="38"/>
    </row>
    <row r="23" spans="1:40" x14ac:dyDescent="0.3">
      <c r="R23" s="203"/>
      <c r="S23" s="130"/>
      <c r="T23" s="128"/>
      <c r="U23" s="130"/>
      <c r="V23" s="128"/>
      <c r="X23" s="1" t="s">
        <v>28</v>
      </c>
      <c r="Y23" s="245" t="s">
        <v>281</v>
      </c>
      <c r="Z23" s="38">
        <v>47.848659215062426</v>
      </c>
      <c r="AA23" s="43">
        <v>1887.0794355317305</v>
      </c>
      <c r="AB23" s="38">
        <v>70.000000000000014</v>
      </c>
      <c r="AC23" s="43">
        <v>2403.0593864044149</v>
      </c>
      <c r="AD23" s="38"/>
    </row>
    <row r="24" spans="1:40" x14ac:dyDescent="0.3">
      <c r="R24" s="203"/>
      <c r="S24" s="130"/>
      <c r="T24" s="128"/>
      <c r="U24" s="130"/>
      <c r="V24" s="128"/>
      <c r="X24" s="1" t="s">
        <v>219</v>
      </c>
      <c r="Y24" s="245" t="s">
        <v>279</v>
      </c>
      <c r="Z24" s="38">
        <v>34.238668603971448</v>
      </c>
      <c r="AA24" s="43">
        <v>1514.589678179258</v>
      </c>
      <c r="AB24" s="38">
        <v>50.000000000000007</v>
      </c>
      <c r="AC24" s="43">
        <v>1942.0996046706398</v>
      </c>
      <c r="AD24" s="38"/>
    </row>
    <row r="25" spans="1:40" x14ac:dyDescent="0.3">
      <c r="R25" s="203"/>
      <c r="S25" s="130"/>
      <c r="T25" s="128"/>
      <c r="U25" s="130"/>
      <c r="V25" s="128"/>
      <c r="X25" s="1" t="s">
        <v>219</v>
      </c>
      <c r="Y25" s="245" t="s">
        <v>280</v>
      </c>
      <c r="Z25" s="38">
        <v>42.790353843357643</v>
      </c>
      <c r="AA25" s="43">
        <v>1878.8434077191434</v>
      </c>
      <c r="AB25" s="38">
        <v>60</v>
      </c>
      <c r="AC25" s="43">
        <v>2320.2651695885766</v>
      </c>
      <c r="AD25" s="38"/>
    </row>
    <row r="26" spans="1:40" x14ac:dyDescent="0.3">
      <c r="R26" s="203"/>
      <c r="S26" s="130"/>
      <c r="T26" s="128"/>
      <c r="U26" s="130"/>
      <c r="V26" s="128"/>
      <c r="X26" s="1" t="s">
        <v>219</v>
      </c>
      <c r="Y26" s="245" t="s">
        <v>281</v>
      </c>
      <c r="Z26" s="38">
        <v>51.086844815080475</v>
      </c>
      <c r="AA26" s="43">
        <v>2232.2113914569213</v>
      </c>
      <c r="AB26" s="38">
        <v>69.999999999999986</v>
      </c>
      <c r="AC26" s="43">
        <v>2698.4307345065135</v>
      </c>
      <c r="AD26" s="38"/>
    </row>
    <row r="27" spans="1:40" x14ac:dyDescent="0.3">
      <c r="R27" s="203"/>
      <c r="S27" s="130"/>
      <c r="T27" s="128"/>
      <c r="U27" s="130"/>
      <c r="V27" s="128"/>
      <c r="X27" s="1" t="s">
        <v>220</v>
      </c>
      <c r="Y27" s="245" t="s">
        <v>279</v>
      </c>
      <c r="Z27" s="38">
        <v>35.573026130280446</v>
      </c>
      <c r="AA27" s="43">
        <v>1692.4402184304508</v>
      </c>
      <c r="AB27" s="38">
        <v>49.999999999999993</v>
      </c>
      <c r="AC27" s="43">
        <v>2105.2383802346371</v>
      </c>
      <c r="AD27" s="38"/>
    </row>
    <row r="28" spans="1:40" x14ac:dyDescent="0.3">
      <c r="R28" s="203"/>
      <c r="S28" s="130"/>
      <c r="T28" s="128"/>
      <c r="U28" s="130"/>
      <c r="V28" s="128"/>
      <c r="X28" s="1" t="s">
        <v>220</v>
      </c>
      <c r="Y28" s="245" t="s">
        <v>280</v>
      </c>
      <c r="Z28" s="38">
        <v>44.474045789385009</v>
      </c>
      <c r="AA28" s="43">
        <v>2100.8045199379198</v>
      </c>
      <c r="AB28" s="38">
        <v>59.999999999999993</v>
      </c>
      <c r="AC28" s="43">
        <v>2515.1589891150597</v>
      </c>
      <c r="AD28" s="38"/>
    </row>
    <row r="29" spans="1:40" x14ac:dyDescent="0.3">
      <c r="R29" s="203"/>
      <c r="S29" s="130"/>
      <c r="T29" s="128"/>
      <c r="U29" s="130"/>
      <c r="V29" s="128"/>
      <c r="W29" s="1"/>
      <c r="X29" s="1" t="s">
        <v>220</v>
      </c>
      <c r="Y29" s="245" t="s">
        <v>281</v>
      </c>
      <c r="Z29" s="38">
        <v>53.107447359125018</v>
      </c>
      <c r="AA29" s="43">
        <v>2496.8697251865801</v>
      </c>
      <c r="AB29" s="38">
        <v>70</v>
      </c>
      <c r="AC29" s="43">
        <v>2925.0795979954814</v>
      </c>
    </row>
    <row r="30" spans="1:40" x14ac:dyDescent="0.3">
      <c r="X30" t="s">
        <v>133</v>
      </c>
      <c r="Y30" t="s">
        <v>278</v>
      </c>
      <c r="Z30" t="s">
        <v>275</v>
      </c>
      <c r="AA30" s="2" t="s">
        <v>282</v>
      </c>
      <c r="AB30" t="s">
        <v>211</v>
      </c>
      <c r="AC30" s="2" t="s">
        <v>282</v>
      </c>
    </row>
    <row r="31" spans="1:40" x14ac:dyDescent="0.3">
      <c r="X31" t="s">
        <v>28</v>
      </c>
      <c r="Y31" s="325" t="s">
        <v>279</v>
      </c>
      <c r="Z31" s="38">
        <v>32.100248388820923</v>
      </c>
      <c r="AA31" s="3">
        <f>AA21/293.08</f>
        <v>4.3779968251761465</v>
      </c>
      <c r="AB31">
        <v>50</v>
      </c>
      <c r="AC31" s="3">
        <f>AC21/293.08</f>
        <v>5.9023929988305701</v>
      </c>
    </row>
    <row r="32" spans="1:40" x14ac:dyDescent="0.3">
      <c r="V32" s="50"/>
      <c r="X32" t="s">
        <v>28</v>
      </c>
      <c r="Y32" s="325" t="s">
        <v>280</v>
      </c>
      <c r="Z32" s="38">
        <v>40.092095825935317</v>
      </c>
      <c r="AA32" s="3">
        <f t="shared" ref="AA32:AC39" si="31">AA22/293.08</f>
        <v>5.4238061009748986</v>
      </c>
      <c r="AB32">
        <v>60.000000000000007</v>
      </c>
      <c r="AC32" s="3">
        <f t="shared" si="31"/>
        <v>7.05086107291811</v>
      </c>
    </row>
    <row r="33" spans="22:29" x14ac:dyDescent="0.3">
      <c r="X33" t="s">
        <v>28</v>
      </c>
      <c r="Y33" s="325" t="s">
        <v>281</v>
      </c>
      <c r="Z33" s="38">
        <v>47.848659215062426</v>
      </c>
      <c r="AA33" s="3">
        <f t="shared" si="31"/>
        <v>6.4387861182330104</v>
      </c>
      <c r="AB33">
        <v>70.000000000000014</v>
      </c>
      <c r="AC33" s="3">
        <f t="shared" si="31"/>
        <v>8.1993291470056473</v>
      </c>
    </row>
    <row r="34" spans="22:29" x14ac:dyDescent="0.3">
      <c r="X34" t="s">
        <v>219</v>
      </c>
      <c r="Y34" s="325" t="s">
        <v>279</v>
      </c>
      <c r="Z34" s="38">
        <v>34.238668603971448</v>
      </c>
      <c r="AA34" s="3">
        <f t="shared" si="31"/>
        <v>5.1678370348684934</v>
      </c>
      <c r="AB34">
        <v>50.000000000000007</v>
      </c>
      <c r="AC34" s="3">
        <f t="shared" si="31"/>
        <v>6.6265170078839901</v>
      </c>
    </row>
    <row r="35" spans="22:29" x14ac:dyDescent="0.3">
      <c r="V35" s="50"/>
      <c r="X35" t="s">
        <v>219</v>
      </c>
      <c r="Y35" s="325" t="s">
        <v>280</v>
      </c>
      <c r="Z35" s="38">
        <v>42.790353843357643</v>
      </c>
      <c r="AA35" s="3">
        <f t="shared" si="31"/>
        <v>6.410684481094389</v>
      </c>
      <c r="AB35">
        <v>60</v>
      </c>
      <c r="AC35" s="3">
        <f t="shared" si="31"/>
        <v>7.916832160463275</v>
      </c>
    </row>
    <row r="36" spans="22:29" x14ac:dyDescent="0.3">
      <c r="X36" t="s">
        <v>219</v>
      </c>
      <c r="Y36" s="325" t="s">
        <v>281</v>
      </c>
      <c r="Z36" s="38">
        <v>51.086844815080475</v>
      </c>
      <c r="AA36" s="3">
        <f t="shared" si="31"/>
        <v>7.6163893525894686</v>
      </c>
      <c r="AB36">
        <v>69.999999999999986</v>
      </c>
      <c r="AC36" s="3">
        <f t="shared" si="31"/>
        <v>9.2071473130425598</v>
      </c>
    </row>
    <row r="37" spans="22:29" x14ac:dyDescent="0.3">
      <c r="X37" t="s">
        <v>220</v>
      </c>
      <c r="Y37" s="325" t="s">
        <v>279</v>
      </c>
      <c r="Z37" s="38">
        <v>35.573026130280446</v>
      </c>
      <c r="AA37" s="3">
        <f t="shared" si="31"/>
        <v>5.7746697776390441</v>
      </c>
      <c r="AB37">
        <v>49.999999999999993</v>
      </c>
      <c r="AC37" s="3">
        <f t="shared" si="31"/>
        <v>7.1831526553658973</v>
      </c>
    </row>
    <row r="38" spans="22:29" x14ac:dyDescent="0.3">
      <c r="V38" s="50"/>
      <c r="X38" t="s">
        <v>220</v>
      </c>
      <c r="Y38" s="325" t="s">
        <v>280</v>
      </c>
      <c r="Z38" s="38">
        <v>44.474045789385009</v>
      </c>
      <c r="AA38" s="3">
        <f t="shared" si="31"/>
        <v>7.1680241570148766</v>
      </c>
      <c r="AB38">
        <v>59.999999999999993</v>
      </c>
      <c r="AC38" s="3">
        <f t="shared" si="31"/>
        <v>8.5818172141226281</v>
      </c>
    </row>
    <row r="39" spans="22:29" x14ac:dyDescent="0.3">
      <c r="X39" t="s">
        <v>220</v>
      </c>
      <c r="Y39" s="325" t="s">
        <v>281</v>
      </c>
      <c r="Z39" s="38">
        <v>53.107447359125018</v>
      </c>
      <c r="AA39" s="3">
        <f t="shared" si="31"/>
        <v>8.5194135566622773</v>
      </c>
      <c r="AB39">
        <v>70</v>
      </c>
      <c r="AC39" s="3">
        <f t="shared" si="31"/>
        <v>9.9804817728793562</v>
      </c>
    </row>
    <row r="40" spans="22:29" x14ac:dyDescent="0.3">
      <c r="AA40" s="1"/>
    </row>
  </sheetData>
  <dataValidations count="1">
    <dataValidation type="list" allowBlank="1" showInputMessage="1" showErrorMessage="1" sqref="AM4">
      <formula1>$BA$1:$BA$2</formula1>
    </dataValidation>
  </dataValidations>
  <pageMargins left="0.7" right="0.7" top="0.75" bottom="0.75" header="0.3" footer="0.3"/>
  <pageSetup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F12" workbookViewId="0">
      <selection activeCell="N26" sqref="N26"/>
    </sheetView>
  </sheetViews>
  <sheetFormatPr defaultColWidth="8.77734375" defaultRowHeight="14.4" x14ac:dyDescent="0.3"/>
  <cols>
    <col min="1" max="1" width="11.77734375" style="1" customWidth="1"/>
    <col min="2" max="16384" width="8.77734375" style="1"/>
  </cols>
  <sheetData>
    <row r="1" spans="1:23" x14ac:dyDescent="0.3">
      <c r="A1" s="1" t="s">
        <v>379</v>
      </c>
      <c r="G1" s="1" t="s">
        <v>285</v>
      </c>
    </row>
    <row r="2" spans="1:23" x14ac:dyDescent="0.3">
      <c r="A2" s="4" t="s">
        <v>284</v>
      </c>
      <c r="G2" s="4" t="s">
        <v>287</v>
      </c>
      <c r="K2" s="4" t="s">
        <v>288</v>
      </c>
      <c r="O2" s="1">
        <f>58+7/8</f>
        <v>58.875</v>
      </c>
      <c r="P2" s="1">
        <f>O2/12</f>
        <v>4.90625</v>
      </c>
      <c r="Q2" s="1" t="s">
        <v>289</v>
      </c>
    </row>
    <row r="3" spans="1:23" x14ac:dyDescent="0.3">
      <c r="A3" s="4" t="s">
        <v>286</v>
      </c>
      <c r="G3" s="2" t="s">
        <v>291</v>
      </c>
      <c r="H3" s="38">
        <v>4.90625</v>
      </c>
      <c r="I3" s="1" t="s">
        <v>292</v>
      </c>
      <c r="K3" s="3">
        <f>2*PI()*H7*H3+2*PI()*H7^2</f>
        <v>30.483266216863463</v>
      </c>
      <c r="L3" s="1" t="s">
        <v>293</v>
      </c>
      <c r="O3" s="1">
        <v>20.25</v>
      </c>
      <c r="P3" s="1">
        <f>O3/12/2</f>
        <v>0.84375</v>
      </c>
      <c r="Q3" s="1" t="s">
        <v>294</v>
      </c>
    </row>
    <row r="4" spans="1:23" x14ac:dyDescent="0.3">
      <c r="A4" s="1" t="s">
        <v>290</v>
      </c>
      <c r="G4" s="2" t="s">
        <v>296</v>
      </c>
      <c r="H4" s="43">
        <v>82.083796087268993</v>
      </c>
      <c r="I4" s="1" t="s">
        <v>297</v>
      </c>
      <c r="K4" s="3">
        <f>2*PI()*H7*H3</f>
        <v>26.010178239388932</v>
      </c>
      <c r="L4" s="1" t="s">
        <v>298</v>
      </c>
      <c r="O4" s="2" t="s">
        <v>299</v>
      </c>
      <c r="P4" s="1">
        <f>PI()*P3^2*P2</f>
        <v>10.973043944742205</v>
      </c>
      <c r="Q4" s="1" t="s">
        <v>300</v>
      </c>
    </row>
    <row r="5" spans="1:23" x14ac:dyDescent="0.3">
      <c r="A5" s="2" t="s">
        <v>295</v>
      </c>
      <c r="B5" s="1">
        <v>135</v>
      </c>
      <c r="G5" s="2"/>
      <c r="H5" s="1">
        <v>0.13368099999999999</v>
      </c>
      <c r="I5" s="1" t="s">
        <v>302</v>
      </c>
      <c r="K5" s="3">
        <f>PI()*H7^2</f>
        <v>2.2365439887372647</v>
      </c>
      <c r="L5" s="1" t="s">
        <v>303</v>
      </c>
      <c r="O5" s="2" t="s">
        <v>296</v>
      </c>
      <c r="P5" s="1">
        <f>P4/H5</f>
        <v>82.083796087268993</v>
      </c>
      <c r="V5" s="11"/>
    </row>
    <row r="6" spans="1:23" x14ac:dyDescent="0.3">
      <c r="A6" s="2" t="s">
        <v>301</v>
      </c>
      <c r="B6" s="1">
        <v>58</v>
      </c>
      <c r="G6" s="2" t="s">
        <v>299</v>
      </c>
      <c r="H6" s="1">
        <f>H4*H5</f>
        <v>10.973043944742205</v>
      </c>
      <c r="I6" s="1" t="s">
        <v>300</v>
      </c>
      <c r="K6" s="4" t="s">
        <v>305</v>
      </c>
      <c r="Q6" s="4"/>
    </row>
    <row r="7" spans="1:23" x14ac:dyDescent="0.3">
      <c r="A7" s="2" t="s">
        <v>304</v>
      </c>
      <c r="B7" s="1">
        <v>64.3</v>
      </c>
      <c r="G7" s="2" t="s">
        <v>307</v>
      </c>
      <c r="H7" s="1">
        <f>(H6/(PI()*H3))^0.5</f>
        <v>0.84375</v>
      </c>
      <c r="I7" s="1" t="s">
        <v>292</v>
      </c>
      <c r="K7" s="2" t="s">
        <v>307</v>
      </c>
      <c r="L7" s="1">
        <f>H7-2.075/12</f>
        <v>0.67083333333333328</v>
      </c>
      <c r="M7" s="1" t="s">
        <v>308</v>
      </c>
      <c r="O7" s="3">
        <f>2*PI()*L7*L8+2*PI()*L7^2</f>
        <v>22.778401150856244</v>
      </c>
      <c r="P7" s="1" t="s">
        <v>309</v>
      </c>
    </row>
    <row r="8" spans="1:23" x14ac:dyDescent="0.3">
      <c r="A8" s="2" t="s">
        <v>306</v>
      </c>
      <c r="B8" s="1">
        <v>67.5</v>
      </c>
      <c r="C8" s="1">
        <f>B5-B8</f>
        <v>67.5</v>
      </c>
      <c r="D8" s="1">
        <f>(B5-B8)*24</f>
        <v>1620</v>
      </c>
      <c r="G8" s="2"/>
      <c r="K8" s="2" t="s">
        <v>291</v>
      </c>
      <c r="L8" s="1">
        <f>H3-2.075/12</f>
        <v>4.7333333333333334</v>
      </c>
      <c r="M8" s="1" t="s">
        <v>308</v>
      </c>
      <c r="O8" s="3">
        <f>2*PI()*L7*L8</f>
        <v>19.950858679547181</v>
      </c>
      <c r="P8" s="1" t="s">
        <v>312</v>
      </c>
    </row>
    <row r="9" spans="1:23" x14ac:dyDescent="0.3">
      <c r="A9" s="2" t="s">
        <v>310</v>
      </c>
      <c r="B9" s="302">
        <f>8.3</f>
        <v>8.3000000000000007</v>
      </c>
      <c r="C9" s="1" t="s">
        <v>311</v>
      </c>
      <c r="D9" s="129"/>
      <c r="K9" s="2" t="s">
        <v>299</v>
      </c>
      <c r="L9" s="1">
        <f>PI()*L7^2*L8</f>
        <v>6.6918505154314483</v>
      </c>
      <c r="M9" s="1" t="s">
        <v>300</v>
      </c>
      <c r="O9" s="3">
        <f>PI()*L7^2</f>
        <v>1.4137712356545313</v>
      </c>
      <c r="P9" s="1" t="s">
        <v>315</v>
      </c>
    </row>
    <row r="10" spans="1:23" x14ac:dyDescent="0.3">
      <c r="A10" s="2" t="s">
        <v>313</v>
      </c>
      <c r="B10" s="38">
        <f>gpd*den</f>
        <v>533.69000000000005</v>
      </c>
      <c r="C10" s="1" t="s">
        <v>314</v>
      </c>
      <c r="K10" s="2"/>
      <c r="O10" s="3"/>
    </row>
    <row r="11" spans="1:23" x14ac:dyDescent="0.3">
      <c r="A11" s="2" t="s">
        <v>316</v>
      </c>
      <c r="B11" s="1">
        <v>1</v>
      </c>
      <c r="C11" s="1" t="s">
        <v>317</v>
      </c>
      <c r="D11" s="157"/>
      <c r="L11" s="1">
        <f>L9/H5</f>
        <v>50.058351713642544</v>
      </c>
      <c r="M11" s="1" t="s">
        <v>297</v>
      </c>
      <c r="O11" s="2" t="s">
        <v>360</v>
      </c>
      <c r="P11" s="318">
        <v>0</v>
      </c>
    </row>
    <row r="12" spans="1:23" x14ac:dyDescent="0.3">
      <c r="A12" s="2" t="s">
        <v>318</v>
      </c>
      <c r="B12" s="1">
        <v>0.92</v>
      </c>
      <c r="E12" s="1">
        <v>0.59</v>
      </c>
      <c r="O12" s="2" t="s">
        <v>361</v>
      </c>
      <c r="P12" s="318">
        <f>IF('Monthly Calcs'!AM4="yes",1,0)</f>
        <v>1</v>
      </c>
    </row>
    <row r="13" spans="1:23" x14ac:dyDescent="0.3">
      <c r="A13" s="2" t="s">
        <v>319</v>
      </c>
      <c r="B13" s="1">
        <v>1</v>
      </c>
      <c r="E13" s="1">
        <v>0.78</v>
      </c>
      <c r="O13" s="2"/>
      <c r="P13" s="52" t="s">
        <v>375</v>
      </c>
      <c r="Q13" s="2" t="s">
        <v>376</v>
      </c>
    </row>
    <row r="14" spans="1:23" x14ac:dyDescent="0.3">
      <c r="A14" s="2" t="s">
        <v>322</v>
      </c>
      <c r="B14" s="125">
        <f>$B10*$B11*($B5-$B6)/$B12</f>
        <v>44667.532608695656</v>
      </c>
      <c r="C14" s="1" t="s">
        <v>323</v>
      </c>
      <c r="E14" s="125">
        <f>$B10*$B11*($B5-$B6)/$E12</f>
        <v>69651.067796610179</v>
      </c>
      <c r="F14" s="1" t="s">
        <v>323</v>
      </c>
      <c r="I14" s="1" t="s">
        <v>320</v>
      </c>
      <c r="O14" s="1" t="s">
        <v>377</v>
      </c>
      <c r="P14" s="341" t="s">
        <v>362</v>
      </c>
      <c r="Q14" s="341"/>
      <c r="R14" s="341" t="s">
        <v>321</v>
      </c>
      <c r="S14" s="341"/>
      <c r="T14" s="341" t="s">
        <v>359</v>
      </c>
      <c r="U14" s="341"/>
      <c r="V14" s="341" t="s">
        <v>363</v>
      </c>
      <c r="W14" s="341"/>
    </row>
    <row r="15" spans="1:23" x14ac:dyDescent="0.3">
      <c r="A15" s="2" t="s">
        <v>325</v>
      </c>
      <c r="B15" s="125">
        <f>B10*B11*(B5-B6)</f>
        <v>41094.130000000005</v>
      </c>
      <c r="C15" s="1" t="s">
        <v>326</v>
      </c>
      <c r="J15" s="1" t="s">
        <v>382</v>
      </c>
      <c r="O15" s="2" t="s">
        <v>324</v>
      </c>
      <c r="P15" s="314">
        <v>0.92</v>
      </c>
      <c r="Q15" s="314">
        <v>0.94799999999999995</v>
      </c>
      <c r="R15" s="317">
        <f>P15</f>
        <v>0.92</v>
      </c>
      <c r="S15" s="317">
        <f>Q15</f>
        <v>0.94799999999999995</v>
      </c>
      <c r="T15" s="317">
        <f>P15</f>
        <v>0.92</v>
      </c>
      <c r="U15" s="317">
        <f>Q15</f>
        <v>0.94799999999999995</v>
      </c>
      <c r="V15" s="317">
        <f>P15</f>
        <v>0.92</v>
      </c>
      <c r="W15" s="317">
        <f>Q15</f>
        <v>0.94799999999999995</v>
      </c>
    </row>
    <row r="16" spans="1:23" x14ac:dyDescent="0.3">
      <c r="A16" s="2" t="s">
        <v>330</v>
      </c>
      <c r="B16" s="1">
        <v>9</v>
      </c>
      <c r="C16" s="1" t="s">
        <v>331</v>
      </c>
      <c r="E16" s="125">
        <v>40</v>
      </c>
      <c r="F16" s="1" t="s">
        <v>332</v>
      </c>
      <c r="I16" s="2" t="s">
        <v>327</v>
      </c>
      <c r="J16" s="1" t="s">
        <v>328</v>
      </c>
      <c r="O16" s="4" t="s">
        <v>329</v>
      </c>
      <c r="P16" s="317">
        <f>((1/P15)-1.031)/0.0349</f>
        <v>1.6033387317802423</v>
      </c>
      <c r="Q16" s="317">
        <f>((1/Q15)-1.031)/0.0349</f>
        <v>0.68344758381391302</v>
      </c>
      <c r="R16" s="317">
        <f>1/(P16/31.5)</f>
        <v>19.646503496503488</v>
      </c>
      <c r="S16" s="317">
        <f>1/(Q16/31.5)</f>
        <v>46.089854944277221</v>
      </c>
      <c r="T16" s="317">
        <f>27.1/(0.68+R16)+4.4/R16</f>
        <v>1.5571931362982685</v>
      </c>
      <c r="U16" s="317">
        <f>27.1/(0.68+S16)+4.4/S16</f>
        <v>0.67489875069519056</v>
      </c>
      <c r="V16" s="317">
        <f>T16-(0.25*Heat_Trap)+Recovery</f>
        <v>1.3071931362982685</v>
      </c>
      <c r="W16" s="317">
        <f>U16-(0.25*Heat_Trap)+Recovery</f>
        <v>0.42489875069519056</v>
      </c>
    </row>
    <row r="17" spans="1:23" x14ac:dyDescent="0.3">
      <c r="A17" s="2"/>
      <c r="B17" s="303" t="s">
        <v>26</v>
      </c>
      <c r="E17" s="304" t="s">
        <v>25</v>
      </c>
      <c r="J17" s="1" t="s">
        <v>333</v>
      </c>
      <c r="O17" s="4" t="s">
        <v>334</v>
      </c>
      <c r="P17" s="317">
        <f>mCp∆T*(1/P15-1)/1620</f>
        <v>2.2058040794417595</v>
      </c>
      <c r="Q17" s="317">
        <f>mCp∆T*(1/Q15-1)/1620</f>
        <v>1.3914249361879463</v>
      </c>
      <c r="R17" s="317">
        <f>1/(P17/31.5)</f>
        <v>14.280506729306602</v>
      </c>
      <c r="S17" s="317">
        <f>1/(Q17/31.5)</f>
        <v>22.638662841777002</v>
      </c>
      <c r="T17" s="317">
        <f>27.1/(0.68+R17)+4.4/R17</f>
        <v>2.1195482845956715</v>
      </c>
      <c r="U17" s="317">
        <f>27.1/(0.68+S17)+4.4/S17</f>
        <v>1.3565170309061008</v>
      </c>
      <c r="V17" s="317">
        <f>T17-(0.25*Heat_Trap)+Recovery</f>
        <v>1.8695482845956715</v>
      </c>
      <c r="W17" s="317">
        <f>U17-(0.25*Heat_Trap)+Recovery</f>
        <v>1.1065170309061008</v>
      </c>
    </row>
    <row r="18" spans="1:23" x14ac:dyDescent="0.3">
      <c r="A18" s="2" t="s">
        <v>335</v>
      </c>
      <c r="B18" s="33">
        <f>mCp∆T*(1/B12-1)/((Ttank-Tenv)*24)</f>
        <v>2.2058040794417595</v>
      </c>
      <c r="E18" s="33">
        <f>((E13/E12)-1)/((Ttank-Tenv)*(24/mCp∆T-1/(E16*10^3*E12)))</f>
        <v>8.8080010166972595</v>
      </c>
      <c r="J18" s="1">
        <f>mCp∆T/D8</f>
        <v>25.366746913580251</v>
      </c>
      <c r="P18" s="52" t="s">
        <v>375</v>
      </c>
      <c r="Q18" s="2" t="s">
        <v>376</v>
      </c>
      <c r="R18" s="328"/>
      <c r="S18" s="328"/>
      <c r="T18" s="328"/>
      <c r="U18" s="328"/>
      <c r="V18" s="328"/>
      <c r="W18" s="328"/>
    </row>
    <row r="19" spans="1:23" x14ac:dyDescent="0.3">
      <c r="A19" s="2" t="s">
        <v>336</v>
      </c>
      <c r="B19" s="38">
        <f>1/(B18/$K$3)</f>
        <v>13.819571058449629</v>
      </c>
      <c r="E19" s="38">
        <f>1/(E18/$K$3)</f>
        <v>3.4608608876266667</v>
      </c>
      <c r="O19" s="60" t="s">
        <v>378</v>
      </c>
      <c r="P19" s="341" t="s">
        <v>362</v>
      </c>
      <c r="Q19" s="341"/>
      <c r="T19" s="341" t="s">
        <v>359</v>
      </c>
      <c r="U19" s="341"/>
      <c r="V19" s="341" t="s">
        <v>363</v>
      </c>
      <c r="W19" s="341"/>
    </row>
    <row r="20" spans="1:23" x14ac:dyDescent="0.3">
      <c r="A20" s="2" t="s">
        <v>339</v>
      </c>
      <c r="B20" s="38">
        <f>1/(B18/$O$7)</f>
        <v>10.326574949766597</v>
      </c>
      <c r="E20" s="38">
        <f>1/(E18/$O$7)</f>
        <v>2.5861033743837454</v>
      </c>
      <c r="J20" s="1" t="s">
        <v>381</v>
      </c>
      <c r="O20" s="2" t="s">
        <v>324</v>
      </c>
      <c r="P20" s="314">
        <v>0.59</v>
      </c>
      <c r="Q20" s="314">
        <v>0.61499999999999999</v>
      </c>
      <c r="R20" s="33"/>
      <c r="S20" s="33"/>
      <c r="T20" s="317">
        <f>P20</f>
        <v>0.59</v>
      </c>
      <c r="U20" s="317">
        <f>Q20</f>
        <v>0.61499999999999999</v>
      </c>
      <c r="V20" s="317">
        <f>P20</f>
        <v>0.59</v>
      </c>
      <c r="W20" s="317">
        <f>Q20</f>
        <v>0.61499999999999999</v>
      </c>
    </row>
    <row r="21" spans="1:23" x14ac:dyDescent="0.3">
      <c r="A21" s="2" t="s">
        <v>341</v>
      </c>
      <c r="B21" s="33">
        <f>B15*(1/B12-1)/1620</f>
        <v>2.2058040794417595</v>
      </c>
      <c r="E21" s="33">
        <f>(0.78/$E$12-1)/(1620/$B$15-67.5/(40000*$E$12))</f>
        <v>8.8080010166972595</v>
      </c>
      <c r="I21" s="2" t="s">
        <v>337</v>
      </c>
      <c r="J21" s="1" t="s">
        <v>338</v>
      </c>
      <c r="O21" s="4" t="s">
        <v>329</v>
      </c>
      <c r="P21" s="317">
        <f>((1/P20)-1.3)/0.0372</f>
        <v>10.61600145799162</v>
      </c>
      <c r="Q21" s="317">
        <f>((1/Q20)-1.3)/0.0372</f>
        <v>8.763877961360258</v>
      </c>
      <c r="R21" s="33"/>
      <c r="S21" s="33"/>
      <c r="T21" s="317">
        <f>P21*(1-0.0095*0.68)</f>
        <v>10.547422088572993</v>
      </c>
      <c r="U21" s="317">
        <f>Q21*(1-0.0095*0.68)</f>
        <v>8.7072633097298713</v>
      </c>
      <c r="V21" s="317">
        <f>T21-(0.9*Heat_Trap)+Recovery</f>
        <v>9.6474220885729931</v>
      </c>
      <c r="W21" s="317">
        <f>U21-(0.9*Heat_Trap)+Recovery</f>
        <v>7.8072633097298709</v>
      </c>
    </row>
    <row r="22" spans="1:23" x14ac:dyDescent="0.3">
      <c r="J22" s="1" t="s">
        <v>340</v>
      </c>
      <c r="O22" s="4" t="s">
        <v>334</v>
      </c>
      <c r="P22" s="317">
        <f>(0.78/P20-1)/(1620/mCp∆T-67.5/(40000*P20))</f>
        <v>8.8080010166972595</v>
      </c>
      <c r="Q22" s="317">
        <f>(0.78/Q20-1)/(1620/mCp∆T-67.5/(40000*Q20))</f>
        <v>7.3148548569326444</v>
      </c>
      <c r="R22" s="33"/>
      <c r="S22" s="33"/>
      <c r="T22" s="317">
        <f>P22*(1-0.0095*0.68)</f>
        <v>8.7511013301293943</v>
      </c>
      <c r="U22" s="317">
        <f>Q22*(1-0.0095*0.68)</f>
        <v>7.2676008945568595</v>
      </c>
      <c r="V22" s="317">
        <f>T22-(0.9*Heat_Trap)+Recovery</f>
        <v>7.8511013301293939</v>
      </c>
      <c r="W22" s="317">
        <f>U22-(0.9*Heat_Trap)+Recovery</f>
        <v>6.3676008945568592</v>
      </c>
    </row>
    <row r="23" spans="1:23" x14ac:dyDescent="0.3">
      <c r="K23" s="1">
        <f>1620/mCp∆T</f>
        <v>3.9421688693738008E-2</v>
      </c>
      <c r="M23" s="1">
        <f>67.5/(35000*0.59)</f>
        <v>3.268765133171913E-3</v>
      </c>
      <c r="P23" s="50"/>
      <c r="Q23" s="50"/>
    </row>
    <row r="24" spans="1:23" x14ac:dyDescent="0.3">
      <c r="A24" s="2"/>
      <c r="B24" s="33"/>
      <c r="L24" s="1">
        <f>K23-M23</f>
        <v>3.6152923560566097E-2</v>
      </c>
    </row>
    <row r="25" spans="1:23" x14ac:dyDescent="0.3">
      <c r="A25" s="1" t="s">
        <v>342</v>
      </c>
      <c r="H25" s="157"/>
      <c r="I25" s="1" t="s">
        <v>25</v>
      </c>
      <c r="K25" s="340" t="s">
        <v>343</v>
      </c>
      <c r="L25" s="340"/>
    </row>
    <row r="26" spans="1:23" x14ac:dyDescent="0.3">
      <c r="A26" s="1" t="s">
        <v>344</v>
      </c>
      <c r="H26" s="2" t="s">
        <v>380</v>
      </c>
      <c r="I26" s="2" t="s">
        <v>345</v>
      </c>
      <c r="J26" s="2" t="s">
        <v>324</v>
      </c>
      <c r="K26" s="2" t="s">
        <v>334</v>
      </c>
      <c r="L26" s="2" t="s">
        <v>329</v>
      </c>
      <c r="N26" s="50"/>
      <c r="O26" s="50"/>
    </row>
    <row r="27" spans="1:23" x14ac:dyDescent="0.3">
      <c r="A27" s="1" t="s">
        <v>346</v>
      </c>
      <c r="H27" s="33">
        <f>((0.78/J27-1)/0.0362)</f>
        <v>12.277470841006751</v>
      </c>
      <c r="I27" s="1">
        <v>40</v>
      </c>
      <c r="J27" s="1">
        <v>0.54</v>
      </c>
      <c r="K27" s="33">
        <f t="shared" ref="K27:K36" si="0">(0.78/J27-1)/(1620/mCp∆T-67.5/(I27*10^3*J27))</f>
        <v>12.24476558163613</v>
      </c>
      <c r="L27" s="33">
        <f>((1/J27)-1.3)/0.0372</f>
        <v>14.834727200318593</v>
      </c>
    </row>
    <row r="28" spans="1:23" x14ac:dyDescent="0.3">
      <c r="H28" s="33">
        <f t="shared" ref="H28:H36" si="1">((0.78/J28-1)/0.0362)</f>
        <v>12.277470841006751</v>
      </c>
      <c r="I28" s="1">
        <v>30</v>
      </c>
      <c r="J28" s="1">
        <v>0.54</v>
      </c>
      <c r="K28" s="33">
        <f t="shared" si="0"/>
        <v>12.606556992168889</v>
      </c>
      <c r="L28" s="33">
        <f t="shared" ref="L28:L36" si="2">((1/J28)-1.3)/0.0372</f>
        <v>14.834727200318593</v>
      </c>
    </row>
    <row r="29" spans="1:23" x14ac:dyDescent="0.3">
      <c r="A29" s="1" t="s">
        <v>347</v>
      </c>
      <c r="H29" s="33">
        <f t="shared" si="1"/>
        <v>8.8959640415769261</v>
      </c>
      <c r="I29" s="1">
        <v>40</v>
      </c>
      <c r="J29" s="1">
        <v>0.59</v>
      </c>
      <c r="K29" s="33">
        <f t="shared" si="0"/>
        <v>8.8080010166972595</v>
      </c>
      <c r="L29" s="33">
        <f t="shared" si="2"/>
        <v>10.61600145799162</v>
      </c>
    </row>
    <row r="30" spans="1:23" x14ac:dyDescent="0.3">
      <c r="A30" s="1" t="s">
        <v>348</v>
      </c>
      <c r="B30" s="1" t="s">
        <v>333</v>
      </c>
      <c r="H30" s="33">
        <f t="shared" si="1"/>
        <v>8.8959640415769261</v>
      </c>
      <c r="I30" s="1">
        <v>30</v>
      </c>
      <c r="J30" s="1">
        <v>0.59</v>
      </c>
      <c r="K30" s="33">
        <f t="shared" si="0"/>
        <v>9.0438308326577825</v>
      </c>
      <c r="L30" s="33">
        <f t="shared" si="2"/>
        <v>10.61600145799162</v>
      </c>
      <c r="V30" s="2"/>
      <c r="W30" s="2"/>
    </row>
    <row r="31" spans="1:23" x14ac:dyDescent="0.3">
      <c r="A31" s="1" t="s">
        <v>349</v>
      </c>
      <c r="B31" s="1" t="s">
        <v>340</v>
      </c>
      <c r="H31" s="33">
        <f t="shared" si="1"/>
        <v>7.1288540367135971</v>
      </c>
      <c r="I31" s="1">
        <v>40</v>
      </c>
      <c r="J31" s="1">
        <v>0.62</v>
      </c>
      <c r="K31" s="33">
        <f t="shared" si="0"/>
        <v>7.0317470665415014</v>
      </c>
      <c r="L31" s="33">
        <f t="shared" si="2"/>
        <v>8.4113770378078421</v>
      </c>
    </row>
    <row r="32" spans="1:23" x14ac:dyDescent="0.3">
      <c r="H32" s="33">
        <f t="shared" si="1"/>
        <v>7.1288540367135971</v>
      </c>
      <c r="I32" s="1">
        <v>30</v>
      </c>
      <c r="J32" s="1">
        <v>0.62</v>
      </c>
      <c r="K32" s="33">
        <f t="shared" si="0"/>
        <v>7.2099850032876276</v>
      </c>
      <c r="L32" s="33">
        <f t="shared" si="2"/>
        <v>8.4113770378078421</v>
      </c>
    </row>
    <row r="33" spans="4:12" x14ac:dyDescent="0.3">
      <c r="D33" s="1">
        <v>0.56000000000000005</v>
      </c>
      <c r="E33" s="1">
        <v>10.79</v>
      </c>
      <c r="H33" s="33">
        <f t="shared" si="1"/>
        <v>4.5353343778345847</v>
      </c>
      <c r="I33" s="1">
        <v>40</v>
      </c>
      <c r="J33" s="1">
        <v>0.67</v>
      </c>
      <c r="K33" s="33">
        <f t="shared" si="0"/>
        <v>4.4489326670641409</v>
      </c>
      <c r="L33" s="33">
        <f t="shared" si="2"/>
        <v>5.1757342320654747</v>
      </c>
    </row>
    <row r="34" spans="4:12" x14ac:dyDescent="0.3">
      <c r="D34" s="1">
        <v>0.62</v>
      </c>
      <c r="E34" s="1">
        <v>7.032</v>
      </c>
      <c r="H34" s="33">
        <f t="shared" si="1"/>
        <v>4.5353343778345847</v>
      </c>
      <c r="I34" s="1">
        <v>30</v>
      </c>
      <c r="J34" s="1">
        <v>0.67</v>
      </c>
      <c r="K34" s="33">
        <f t="shared" si="0"/>
        <v>4.5525031324771552</v>
      </c>
      <c r="L34" s="33">
        <f t="shared" si="2"/>
        <v>5.1757342320654747</v>
      </c>
    </row>
    <row r="35" spans="4:12" x14ac:dyDescent="0.3">
      <c r="H35" s="33">
        <f t="shared" si="1"/>
        <v>2.3020257826887702</v>
      </c>
      <c r="I35" s="1">
        <v>40</v>
      </c>
      <c r="J35" s="1">
        <v>0.72</v>
      </c>
      <c r="K35" s="33">
        <f t="shared" si="0"/>
        <v>2.2475179653772774</v>
      </c>
      <c r="L35" s="33">
        <f t="shared" si="2"/>
        <v>2.3894862604539999</v>
      </c>
    </row>
    <row r="36" spans="4:12" x14ac:dyDescent="0.3">
      <c r="H36" s="33">
        <f t="shared" si="1"/>
        <v>2.3020257826887702</v>
      </c>
      <c r="I36" s="1">
        <v>30</v>
      </c>
      <c r="J36" s="1">
        <v>0.72</v>
      </c>
      <c r="K36" s="33">
        <f t="shared" si="0"/>
        <v>2.2958935465567789</v>
      </c>
      <c r="L36" s="33">
        <f t="shared" si="2"/>
        <v>2.3894862604539999</v>
      </c>
    </row>
    <row r="37" spans="4:12" x14ac:dyDescent="0.3">
      <c r="I37" s="1" t="s">
        <v>26</v>
      </c>
    </row>
    <row r="38" spans="4:12" x14ac:dyDescent="0.3">
      <c r="H38" s="2" t="s">
        <v>380</v>
      </c>
      <c r="I38" s="2" t="s">
        <v>350</v>
      </c>
      <c r="J38" s="2" t="s">
        <v>324</v>
      </c>
      <c r="K38" s="2" t="s">
        <v>334</v>
      </c>
      <c r="L38" s="2" t="s">
        <v>329</v>
      </c>
    </row>
    <row r="39" spans="4:12" x14ac:dyDescent="0.3">
      <c r="H39" s="33">
        <f>(1/J39-1)*25.367</f>
        <v>4.1295116279069788</v>
      </c>
      <c r="I39" s="3">
        <f t="shared" ref="I39:I47" si="3">1/((((1/J39)-1.031)/0.0349)/31.5)</f>
        <v>8.3416357861302188</v>
      </c>
      <c r="J39" s="1">
        <v>0.86</v>
      </c>
      <c r="K39" s="33">
        <f t="shared" ref="K39:K47" si="4">mCp∆T*(1/J39-1)/1620</f>
        <v>4.1294704277921355</v>
      </c>
      <c r="L39" s="33">
        <f>((1/J39)-1.031)/0.0349</f>
        <v>3.7762377557140043</v>
      </c>
    </row>
    <row r="40" spans="4:12" x14ac:dyDescent="0.3">
      <c r="H40" s="33">
        <f t="shared" ref="H40:H47" si="5">(1/J40-1)*25.367</f>
        <v>3.4591363636363663</v>
      </c>
      <c r="I40" s="3">
        <f t="shared" si="3"/>
        <v>10.433865401207919</v>
      </c>
      <c r="J40" s="1">
        <v>0.88</v>
      </c>
      <c r="K40" s="33">
        <f t="shared" si="4"/>
        <v>3.4591018518518544</v>
      </c>
      <c r="L40" s="33">
        <f t="shared" ref="L40:L47" si="6">((1/J40)-1.031)/0.0349</f>
        <v>3.0190153685855745</v>
      </c>
    </row>
    <row r="41" spans="4:12" x14ac:dyDescent="0.3">
      <c r="H41" s="33">
        <f t="shared" si="5"/>
        <v>2.818555555555557</v>
      </c>
      <c r="I41" s="3">
        <f t="shared" si="3"/>
        <v>13.722815533980562</v>
      </c>
      <c r="J41" s="1">
        <v>0.9</v>
      </c>
      <c r="K41" s="33">
        <f t="shared" si="4"/>
        <v>2.8185274348422511</v>
      </c>
      <c r="L41" s="33">
        <f t="shared" si="6"/>
        <v>2.2954473097739609</v>
      </c>
    </row>
    <row r="42" spans="4:12" x14ac:dyDescent="0.3">
      <c r="H42" s="33">
        <f t="shared" si="5"/>
        <v>2.5088241758241727</v>
      </c>
      <c r="I42" s="3">
        <f t="shared" si="3"/>
        <v>16.190459621297954</v>
      </c>
      <c r="J42" s="1">
        <v>0.91</v>
      </c>
      <c r="K42" s="33">
        <f t="shared" si="4"/>
        <v>2.5087991452991423</v>
      </c>
      <c r="L42" s="33">
        <f t="shared" si="6"/>
        <v>1.9455902263925173</v>
      </c>
    </row>
    <row r="43" spans="4:12" x14ac:dyDescent="0.3">
      <c r="H43" s="33">
        <f t="shared" si="5"/>
        <v>2.2058260869565203</v>
      </c>
      <c r="I43" s="3">
        <f t="shared" si="3"/>
        <v>19.646503496503488</v>
      </c>
      <c r="J43" s="1">
        <v>0.92</v>
      </c>
      <c r="K43" s="33">
        <f t="shared" si="4"/>
        <v>2.2058040794417595</v>
      </c>
      <c r="L43" s="33">
        <f t="shared" si="6"/>
        <v>1.6033387317802423</v>
      </c>
    </row>
    <row r="44" spans="4:12" x14ac:dyDescent="0.3">
      <c r="H44" s="33">
        <f t="shared" si="5"/>
        <v>1.9093440860215039</v>
      </c>
      <c r="I44" s="3">
        <f t="shared" si="3"/>
        <v>24.83350740830701</v>
      </c>
      <c r="J44" s="1">
        <v>0.93</v>
      </c>
      <c r="K44" s="33">
        <f t="shared" si="4"/>
        <v>1.9093250365060386</v>
      </c>
      <c r="L44" s="33">
        <f t="shared" si="6"/>
        <v>1.2684474843639282</v>
      </c>
    </row>
    <row r="45" spans="4:12" x14ac:dyDescent="0.3">
      <c r="H45" s="33">
        <f t="shared" si="5"/>
        <v>1.6191702127659571</v>
      </c>
      <c r="I45" s="3">
        <f t="shared" si="3"/>
        <v>33.486357744653212</v>
      </c>
      <c r="J45" s="1">
        <v>0.94</v>
      </c>
      <c r="K45" s="33">
        <f t="shared" si="4"/>
        <v>1.6191540583136326</v>
      </c>
      <c r="L45" s="33">
        <f t="shared" si="6"/>
        <v>0.94068158263732427</v>
      </c>
    </row>
    <row r="46" spans="4:12" x14ac:dyDescent="0.3">
      <c r="H46" s="33">
        <f t="shared" si="5"/>
        <v>1.3351052631578932</v>
      </c>
      <c r="I46" s="3">
        <f t="shared" si="3"/>
        <v>50.821532846715264</v>
      </c>
      <c r="J46" s="1">
        <v>0.95</v>
      </c>
      <c r="K46" s="33">
        <f t="shared" si="4"/>
        <v>1.3350919428200116</v>
      </c>
      <c r="L46" s="33">
        <f t="shared" si="6"/>
        <v>0.61981601568390965</v>
      </c>
    </row>
    <row r="47" spans="4:12" x14ac:dyDescent="0.3">
      <c r="H47" s="33">
        <f t="shared" si="5"/>
        <v>1.0569583333333352</v>
      </c>
      <c r="I47" s="3">
        <f t="shared" si="3"/>
        <v>103.06406249999849</v>
      </c>
      <c r="J47" s="1">
        <v>0.96</v>
      </c>
      <c r="K47" s="33">
        <f t="shared" si="4"/>
        <v>1.0569477880658456</v>
      </c>
      <c r="L47" s="33">
        <f t="shared" si="6"/>
        <v>0.30563514804202935</v>
      </c>
    </row>
  </sheetData>
  <mergeCells count="8">
    <mergeCell ref="K25:L25"/>
    <mergeCell ref="V14:W14"/>
    <mergeCell ref="V19:W19"/>
    <mergeCell ref="P14:Q14"/>
    <mergeCell ref="R14:S14"/>
    <mergeCell ref="P19:Q19"/>
    <mergeCell ref="T14:U14"/>
    <mergeCell ref="T19:U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workbookViewId="0"/>
  </sheetViews>
  <sheetFormatPr defaultRowHeight="14.4" x14ac:dyDescent="0.3"/>
  <cols>
    <col min="1" max="1" width="14.44140625" customWidth="1"/>
    <col min="5" max="6" width="8.77734375" style="1"/>
    <col min="7" max="7" width="8.77734375" style="1" customWidth="1"/>
    <col min="8" max="8" width="2.6640625" customWidth="1"/>
    <col min="10" max="11" width="9.109375" style="1"/>
    <col min="12" max="14" width="8.77734375" style="1"/>
    <col min="15" max="15" width="1.6640625" style="1" customWidth="1"/>
    <col min="18" max="21" width="9.109375" style="1" customWidth="1"/>
    <col min="22" max="22" width="1.6640625" customWidth="1"/>
    <col min="27" max="29" width="8.77734375" style="1"/>
    <col min="30" max="30" width="1.6640625" customWidth="1"/>
    <col min="31" max="31" width="10.44140625" customWidth="1"/>
  </cols>
  <sheetData>
    <row r="1" spans="1:43" s="1" customFormat="1" x14ac:dyDescent="0.3">
      <c r="A1" s="1" t="s">
        <v>44</v>
      </c>
      <c r="I1" s="106" t="s">
        <v>113</v>
      </c>
      <c r="J1" s="52"/>
      <c r="K1" s="52"/>
      <c r="L1" s="52"/>
      <c r="M1" s="52"/>
      <c r="N1" s="52"/>
      <c r="O1" s="52"/>
      <c r="P1" s="1" t="s">
        <v>45</v>
      </c>
      <c r="W1" s="1" t="s">
        <v>47</v>
      </c>
      <c r="AE1" s="1" t="s">
        <v>130</v>
      </c>
      <c r="AF1" s="89" t="s">
        <v>222</v>
      </c>
      <c r="AL1" s="130"/>
      <c r="AM1" s="130"/>
      <c r="AN1" s="130"/>
      <c r="AO1" s="130"/>
      <c r="AP1" s="130"/>
      <c r="AQ1" s="130"/>
    </row>
    <row r="2" spans="1:43" x14ac:dyDescent="0.3">
      <c r="A2" s="36" t="s">
        <v>29</v>
      </c>
      <c r="B2" s="36" t="s">
        <v>220</v>
      </c>
      <c r="C2" s="36" t="s">
        <v>221</v>
      </c>
      <c r="D2" s="36" t="s">
        <v>28</v>
      </c>
      <c r="E2" s="36" t="s">
        <v>219</v>
      </c>
      <c r="F2" s="36" t="s">
        <v>223</v>
      </c>
      <c r="G2" s="36" t="s">
        <v>225</v>
      </c>
      <c r="I2" s="36" t="s">
        <v>220</v>
      </c>
      <c r="J2" s="36" t="s">
        <v>221</v>
      </c>
      <c r="K2" s="36" t="s">
        <v>28</v>
      </c>
      <c r="L2" s="36" t="s">
        <v>219</v>
      </c>
      <c r="M2" s="36" t="s">
        <v>223</v>
      </c>
      <c r="N2" s="36" t="s">
        <v>225</v>
      </c>
      <c r="O2" s="41"/>
      <c r="P2" s="36" t="s">
        <v>220</v>
      </c>
      <c r="Q2" s="36" t="s">
        <v>221</v>
      </c>
      <c r="R2" s="36" t="s">
        <v>28</v>
      </c>
      <c r="S2" s="36" t="s">
        <v>219</v>
      </c>
      <c r="T2" s="36" t="s">
        <v>223</v>
      </c>
      <c r="U2" s="36" t="s">
        <v>225</v>
      </c>
      <c r="V2" s="41"/>
      <c r="W2" s="44" t="s">
        <v>48</v>
      </c>
      <c r="X2" s="36" t="s">
        <v>220</v>
      </c>
      <c r="Y2" s="36" t="s">
        <v>221</v>
      </c>
      <c r="Z2" s="36" t="s">
        <v>28</v>
      </c>
      <c r="AA2" s="36" t="s">
        <v>219</v>
      </c>
      <c r="AB2" s="36" t="s">
        <v>223</v>
      </c>
      <c r="AC2" s="36" t="s">
        <v>225</v>
      </c>
      <c r="AE2" s="36" t="s">
        <v>220</v>
      </c>
      <c r="AF2" s="36" t="s">
        <v>221</v>
      </c>
      <c r="AG2" s="36" t="s">
        <v>28</v>
      </c>
      <c r="AH2" s="36" t="s">
        <v>219</v>
      </c>
      <c r="AI2" s="44" t="s">
        <v>223</v>
      </c>
      <c r="AJ2" s="36" t="s">
        <v>225</v>
      </c>
      <c r="AL2" s="41"/>
      <c r="AM2" s="41"/>
      <c r="AN2" s="41"/>
      <c r="AO2" s="41"/>
      <c r="AP2" s="52"/>
      <c r="AQ2" s="41"/>
    </row>
    <row r="3" spans="1:43" x14ac:dyDescent="0.3">
      <c r="A3" s="2" t="s">
        <v>32</v>
      </c>
      <c r="B3" s="3">
        <v>64.53</v>
      </c>
      <c r="C3" s="3">
        <v>63.43</v>
      </c>
      <c r="D3" s="3">
        <v>76.48</v>
      </c>
      <c r="E3" s="216">
        <v>69.98</v>
      </c>
      <c r="F3" s="216">
        <v>70.22</v>
      </c>
      <c r="G3" s="216">
        <v>68.400000000000006</v>
      </c>
      <c r="I3" s="107">
        <f t="shared" ref="I3:I14" si="0">(1-((Tset-Tuse)/(Tset-(B3))))</f>
        <v>0.66925748304944599</v>
      </c>
      <c r="J3" s="107">
        <f t="shared" ref="J3:J14" si="1">(1-((Tset-Tuse)/(Tset-(C3))))</f>
        <v>0.67516647718044509</v>
      </c>
      <c r="K3" s="107">
        <f t="shared" ref="K3:K14" si="2">(1-((Tset-Tuse)/(Tset-(D3))))</f>
        <v>0.58779884583676834</v>
      </c>
      <c r="L3" s="107">
        <f t="shared" ref="L3:L14" si="3">(1-((Tset-Tuse)/(Tset-(E3))))</f>
        <v>0.63649581970192659</v>
      </c>
      <c r="M3" s="107">
        <f t="shared" ref="M3:M14" si="4">(1-((Tset-Tuse)/(Tset-(F3))))</f>
        <v>0.63490324936108067</v>
      </c>
      <c r="N3" s="107">
        <f t="shared" ref="N3:N14" si="5">(1-((Tset-Tuse)/(Tset-(G3))))</f>
        <v>0.64664310954063597</v>
      </c>
      <c r="O3" s="130"/>
      <c r="P3" s="38">
        <f t="shared" ref="P3:P14" si="6">(refDWgpd+refCWgpd+I3*( 23.98 + 11.88*Nbr))*Ndu</f>
        <v>48.106672667591752</v>
      </c>
      <c r="Q3" s="38">
        <f t="shared" ref="Q3:Q14" si="7">(refDWgpd+refCWgpd+J3*( 23.98 + 11.88*Nbr))*Ndu</f>
        <v>48.458966897681918</v>
      </c>
      <c r="R3" s="38">
        <f t="shared" ref="R3:R14" si="8">(refDWgpd+refCWgpd+K3*( 23.98 + 11.88*Nbr))*Ndu</f>
        <v>43.250108716971909</v>
      </c>
      <c r="S3" s="38">
        <f t="shared" ref="S3:S14" si="9">(refDWgpd+refCWgpd+L3*( 23.98 + 11.88*Nbr))*Ndu</f>
        <v>46.153422298812643</v>
      </c>
      <c r="T3" s="38">
        <f t="shared" ref="T3:T14" si="10">(refDWgpd+refCWgpd+M3*( 23.98 + 11.88*Nbr))*Ndu</f>
        <v>46.058473255091414</v>
      </c>
      <c r="U3" s="38">
        <f t="shared" ref="U3:U14" si="11">(refDWgpd+refCWgpd+N3*( 23.98 + 11.88*Nbr))*Ndu</f>
        <v>46.758403718996497</v>
      </c>
      <c r="V3" s="38"/>
      <c r="W3">
        <v>31</v>
      </c>
      <c r="X3" s="43">
        <f t="shared" ref="X3:X14" si="12">$W3*P3</f>
        <v>1491.3068526953443</v>
      </c>
      <c r="Y3" s="43">
        <f t="shared" ref="Y3:Y14" si="13">$W3*Q3</f>
        <v>1502.2279738281395</v>
      </c>
      <c r="Z3" s="43">
        <f t="shared" ref="Z3:Z14" si="14">$W3*R3</f>
        <v>1340.7533702261292</v>
      </c>
      <c r="AA3" s="43">
        <f t="shared" ref="AA3:AA14" si="15">$W3*S3</f>
        <v>1430.756091263192</v>
      </c>
      <c r="AB3" s="43">
        <f t="shared" ref="AB3:AC14" si="16">$W3*T3</f>
        <v>1427.8126709078338</v>
      </c>
      <c r="AC3" s="43">
        <f t="shared" si="16"/>
        <v>1449.5105152888914</v>
      </c>
      <c r="AE3" s="125">
        <f>X3*8.341*(125-B3)</f>
        <v>752185.75301532785</v>
      </c>
      <c r="AF3" s="125">
        <f>Y3*8.341*(125-C3)</f>
        <v>771477.24292366044</v>
      </c>
      <c r="AG3" s="125">
        <f>Z3*8.341*(125-D3)</f>
        <v>542610.02173844399</v>
      </c>
      <c r="AH3" s="125">
        <f>AA3*8.341*(125-E3)</f>
        <v>656605.18937859009</v>
      </c>
      <c r="AI3" s="125">
        <f t="shared" ref="AI3:AJ14" si="17">AB3*8.341*(125-F3)</f>
        <v>652396.13703495392</v>
      </c>
      <c r="AJ3" s="125">
        <f t="shared" si="17"/>
        <v>684314.78397419467</v>
      </c>
      <c r="AL3" s="130"/>
      <c r="AM3" s="130"/>
      <c r="AN3" s="130"/>
      <c r="AO3" s="130"/>
      <c r="AP3" s="130"/>
      <c r="AQ3" s="130"/>
    </row>
    <row r="4" spans="1:43" x14ac:dyDescent="0.3">
      <c r="A4" s="2" t="s">
        <v>33</v>
      </c>
      <c r="B4" s="3">
        <v>64.849999999999994</v>
      </c>
      <c r="C4" s="3">
        <v>63.67</v>
      </c>
      <c r="D4" s="3">
        <v>77.08</v>
      </c>
      <c r="E4" s="216">
        <v>70.47</v>
      </c>
      <c r="F4" s="216">
        <v>70.78</v>
      </c>
      <c r="G4" s="216">
        <v>68.84</v>
      </c>
      <c r="I4" s="107">
        <f t="shared" si="0"/>
        <v>0.66749792186201162</v>
      </c>
      <c r="J4" s="107">
        <f t="shared" si="1"/>
        <v>0.67389532039784772</v>
      </c>
      <c r="K4" s="107">
        <f t="shared" si="2"/>
        <v>0.58263772954924875</v>
      </c>
      <c r="L4" s="107">
        <f t="shared" si="3"/>
        <v>0.63322941500091701</v>
      </c>
      <c r="M4" s="107">
        <f t="shared" si="4"/>
        <v>0.63113242345997789</v>
      </c>
      <c r="N4" s="107">
        <f t="shared" si="5"/>
        <v>0.64387464387464388</v>
      </c>
      <c r="P4" s="38">
        <f t="shared" si="6"/>
        <v>48.001767629596912</v>
      </c>
      <c r="Q4" s="38">
        <f t="shared" si="7"/>
        <v>48.383180530303463</v>
      </c>
      <c r="R4" s="38">
        <f t="shared" si="8"/>
        <v>42.942402963909991</v>
      </c>
      <c r="S4" s="38">
        <f t="shared" si="9"/>
        <v>45.958679250538452</v>
      </c>
      <c r="T4" s="38">
        <f t="shared" si="10"/>
        <v>45.833656614867664</v>
      </c>
      <c r="U4" s="38">
        <f t="shared" si="11"/>
        <v>46.593347795990049</v>
      </c>
      <c r="V4" s="38"/>
      <c r="W4">
        <v>28</v>
      </c>
      <c r="X4" s="43">
        <f t="shared" si="12"/>
        <v>1344.0494936287137</v>
      </c>
      <c r="Y4" s="43">
        <f t="shared" si="13"/>
        <v>1354.7290548484971</v>
      </c>
      <c r="Z4" s="43">
        <f t="shared" si="14"/>
        <v>1202.3872829894797</v>
      </c>
      <c r="AA4" s="43">
        <f t="shared" si="15"/>
        <v>1286.8430190150766</v>
      </c>
      <c r="AB4" s="43">
        <f t="shared" si="16"/>
        <v>1283.3423852162946</v>
      </c>
      <c r="AC4" s="43">
        <f t="shared" si="16"/>
        <v>1304.6137382877214</v>
      </c>
      <c r="AE4" s="125">
        <f t="shared" ref="AE4:AE14" si="18">X4*8.341*(125-B4)</f>
        <v>674324.61710537958</v>
      </c>
      <c r="AF4" s="125">
        <f t="shared" ref="AF4:AF14" si="19">Y4*8.341*(125-C4)</f>
        <v>693016.43020131229</v>
      </c>
      <c r="AG4" s="125">
        <f t="shared" ref="AG4:AG14" si="20">Z4*8.341*(125-D4)</f>
        <v>480595.06272973871</v>
      </c>
      <c r="AH4" s="125">
        <f t="shared" ref="AH4:AH14" si="21">AA4*8.341*(125-E4)</f>
        <v>585300.89710610721</v>
      </c>
      <c r="AI4" s="125">
        <f t="shared" si="17"/>
        <v>580390.33603853162</v>
      </c>
      <c r="AJ4" s="125">
        <f t="shared" si="17"/>
        <v>611120.94400981069</v>
      </c>
    </row>
    <row r="5" spans="1:43" x14ac:dyDescent="0.3">
      <c r="A5" s="2" t="s">
        <v>34</v>
      </c>
      <c r="B5" s="3">
        <v>67.5</v>
      </c>
      <c r="C5" s="3">
        <v>66.28</v>
      </c>
      <c r="D5" s="3">
        <v>78.98</v>
      </c>
      <c r="E5" s="216">
        <v>72.760000000000005</v>
      </c>
      <c r="F5" s="216">
        <v>73.25</v>
      </c>
      <c r="G5" s="216">
        <v>71.23</v>
      </c>
      <c r="I5" s="107">
        <f t="shared" si="0"/>
        <v>0.65217391304347827</v>
      </c>
      <c r="J5" s="107">
        <f t="shared" si="1"/>
        <v>0.65940054495912803</v>
      </c>
      <c r="K5" s="107">
        <f t="shared" si="2"/>
        <v>0.56540634506736198</v>
      </c>
      <c r="L5" s="107">
        <f t="shared" si="3"/>
        <v>0.61715160796324653</v>
      </c>
      <c r="M5" s="107">
        <f t="shared" si="4"/>
        <v>0.61352657004830924</v>
      </c>
      <c r="N5" s="107">
        <f t="shared" si="5"/>
        <v>0.62804537846382735</v>
      </c>
      <c r="P5" s="38">
        <f t="shared" si="6"/>
        <v>47.08815022383596</v>
      </c>
      <c r="Q5" s="38">
        <f t="shared" si="7"/>
        <v>47.519002018646994</v>
      </c>
      <c r="R5" s="38">
        <f t="shared" si="8"/>
        <v>41.915067821099903</v>
      </c>
      <c r="S5" s="38">
        <f t="shared" si="9"/>
        <v>45.000120394952539</v>
      </c>
      <c r="T5" s="38">
        <f t="shared" si="10"/>
        <v>44.783995634463977</v>
      </c>
      <c r="U5" s="38">
        <f t="shared" si="11"/>
        <v>45.649606992197171</v>
      </c>
      <c r="V5" s="38"/>
      <c r="W5">
        <v>31</v>
      </c>
      <c r="X5" s="43">
        <f t="shared" si="12"/>
        <v>1459.7326569389147</v>
      </c>
      <c r="Y5" s="43">
        <f t="shared" si="13"/>
        <v>1473.0890625780569</v>
      </c>
      <c r="Z5" s="43">
        <f t="shared" si="14"/>
        <v>1299.367102454097</v>
      </c>
      <c r="AA5" s="43">
        <f t="shared" si="15"/>
        <v>1395.0037322435287</v>
      </c>
      <c r="AB5" s="43">
        <f t="shared" si="16"/>
        <v>1388.3038646683833</v>
      </c>
      <c r="AC5" s="43">
        <f t="shared" si="16"/>
        <v>1415.1378167581122</v>
      </c>
      <c r="AE5" s="125">
        <f t="shared" si="18"/>
        <v>700098.73026283039</v>
      </c>
      <c r="AF5" s="125">
        <f t="shared" si="19"/>
        <v>721494.74634298088</v>
      </c>
      <c r="AG5" s="125">
        <f t="shared" si="20"/>
        <v>498765.72649223398</v>
      </c>
      <c r="AH5" s="125">
        <f t="shared" si="21"/>
        <v>607850.33306480444</v>
      </c>
      <c r="AI5" s="125">
        <f t="shared" si="17"/>
        <v>599256.8511965475</v>
      </c>
      <c r="AJ5" s="125">
        <f t="shared" si="17"/>
        <v>634683.041755485</v>
      </c>
    </row>
    <row r="6" spans="1:43" s="8" customFormat="1" x14ac:dyDescent="0.3">
      <c r="A6" s="9" t="s">
        <v>35</v>
      </c>
      <c r="B6" s="7">
        <v>71.790000000000006</v>
      </c>
      <c r="C6" s="7">
        <v>70.599999999999994</v>
      </c>
      <c r="D6" s="7">
        <v>81.7</v>
      </c>
      <c r="E6" s="216">
        <v>76.260000000000005</v>
      </c>
      <c r="F6" s="216">
        <v>76.989999999999995</v>
      </c>
      <c r="G6" s="216">
        <v>74.930000000000007</v>
      </c>
      <c r="I6" s="107">
        <f t="shared" si="0"/>
        <v>0.6241308024807366</v>
      </c>
      <c r="J6" s="107">
        <f t="shared" si="1"/>
        <v>0.63235294117647056</v>
      </c>
      <c r="K6" s="107">
        <f t="shared" si="2"/>
        <v>0.53810623556581982</v>
      </c>
      <c r="L6" s="107">
        <f t="shared" si="3"/>
        <v>0.5896594173163725</v>
      </c>
      <c r="M6" s="107">
        <f t="shared" si="4"/>
        <v>0.58342012080816508</v>
      </c>
      <c r="N6" s="107">
        <f t="shared" si="5"/>
        <v>0.60055921709606541</v>
      </c>
      <c r="O6" s="1"/>
      <c r="P6" s="40">
        <f t="shared" si="6"/>
        <v>45.416219972085301</v>
      </c>
      <c r="Q6" s="40">
        <f t="shared" si="7"/>
        <v>45.906423881124958</v>
      </c>
      <c r="R6" s="40">
        <f t="shared" si="8"/>
        <v>40.287435292617957</v>
      </c>
      <c r="S6" s="40">
        <f t="shared" si="9"/>
        <v>43.361035988585911</v>
      </c>
      <c r="T6" s="40">
        <f t="shared" si="10"/>
        <v>42.989049130766581</v>
      </c>
      <c r="U6" s="40">
        <f t="shared" si="11"/>
        <v>44.010882051451205</v>
      </c>
      <c r="V6" s="40"/>
      <c r="W6" s="8">
        <v>30</v>
      </c>
      <c r="X6" s="43">
        <f t="shared" si="12"/>
        <v>1362.4865991625591</v>
      </c>
      <c r="Y6" s="43">
        <f t="shared" si="13"/>
        <v>1377.1927164337487</v>
      </c>
      <c r="Z6" s="43">
        <f t="shared" si="14"/>
        <v>1208.6230587785387</v>
      </c>
      <c r="AA6" s="43">
        <f t="shared" si="15"/>
        <v>1300.8310796575774</v>
      </c>
      <c r="AB6" s="43">
        <f t="shared" si="16"/>
        <v>1289.6714739229974</v>
      </c>
      <c r="AC6" s="43">
        <f t="shared" si="16"/>
        <v>1320.3264615435362</v>
      </c>
      <c r="AE6" s="125">
        <f t="shared" si="18"/>
        <v>604705.08350354899</v>
      </c>
      <c r="AF6" s="125">
        <f t="shared" si="19"/>
        <v>624901.74595890008</v>
      </c>
      <c r="AG6" s="125">
        <f t="shared" si="20"/>
        <v>436512.70961066853</v>
      </c>
      <c r="AH6" s="223">
        <f t="shared" si="21"/>
        <v>528840.30940655852</v>
      </c>
      <c r="AI6" s="223">
        <f t="shared" si="17"/>
        <v>516450.76016924251</v>
      </c>
      <c r="AJ6" s="223">
        <f t="shared" si="17"/>
        <v>551413.04979783308</v>
      </c>
    </row>
    <row r="7" spans="1:43" x14ac:dyDescent="0.3">
      <c r="A7" s="2" t="s">
        <v>36</v>
      </c>
      <c r="B7" s="3">
        <v>76.599999999999994</v>
      </c>
      <c r="C7" s="3">
        <v>75.489999999999995</v>
      </c>
      <c r="D7" s="3">
        <v>84.52</v>
      </c>
      <c r="E7" s="216">
        <v>80.06</v>
      </c>
      <c r="F7" s="216">
        <v>81.010000000000005</v>
      </c>
      <c r="G7" s="216">
        <v>79</v>
      </c>
      <c r="I7" s="107">
        <f t="shared" si="0"/>
        <v>0.58677685950413228</v>
      </c>
      <c r="J7" s="107">
        <f t="shared" si="1"/>
        <v>0.5960412037972127</v>
      </c>
      <c r="K7" s="107">
        <f t="shared" si="2"/>
        <v>0.50592885375494068</v>
      </c>
      <c r="L7" s="107">
        <f t="shared" si="3"/>
        <v>0.55496217178460161</v>
      </c>
      <c r="M7" s="107">
        <f t="shared" si="4"/>
        <v>0.54535121618549665</v>
      </c>
      <c r="N7" s="107">
        <f t="shared" si="5"/>
        <v>0.56521739130434789</v>
      </c>
      <c r="P7" s="38">
        <f t="shared" si="6"/>
        <v>43.189177891820151</v>
      </c>
      <c r="Q7" s="38">
        <f t="shared" si="7"/>
        <v>43.741518098573607</v>
      </c>
      <c r="R7" s="38">
        <f t="shared" si="8"/>
        <v>38.369019789053347</v>
      </c>
      <c r="S7" s="38">
        <f t="shared" si="9"/>
        <v>41.292386209981728</v>
      </c>
      <c r="T7" s="38">
        <f t="shared" si="10"/>
        <v>40.719381037163089</v>
      </c>
      <c r="U7" s="38">
        <f t="shared" si="11"/>
        <v>41.903802397749004</v>
      </c>
      <c r="V7" s="38"/>
      <c r="W7">
        <v>31</v>
      </c>
      <c r="X7" s="43">
        <f t="shared" si="12"/>
        <v>1338.8645146464246</v>
      </c>
      <c r="Y7" s="43">
        <f t="shared" si="13"/>
        <v>1355.9870610557819</v>
      </c>
      <c r="Z7" s="43">
        <f t="shared" si="14"/>
        <v>1189.4396134606538</v>
      </c>
      <c r="AA7" s="43">
        <f t="shared" si="15"/>
        <v>1280.0639725094336</v>
      </c>
      <c r="AB7" s="43">
        <f t="shared" si="16"/>
        <v>1262.3008121520556</v>
      </c>
      <c r="AC7" s="43">
        <f t="shared" si="16"/>
        <v>1299.0178743302192</v>
      </c>
      <c r="AE7" s="125">
        <f t="shared" si="18"/>
        <v>540505.49556662608</v>
      </c>
      <c r="AF7" s="125">
        <f t="shared" si="19"/>
        <v>559972.36265594338</v>
      </c>
      <c r="AG7" s="125">
        <f t="shared" si="20"/>
        <v>401606.76822663273</v>
      </c>
      <c r="AH7" s="125">
        <f t="shared" si="21"/>
        <v>479824.99094587116</v>
      </c>
      <c r="AI7" s="125">
        <f t="shared" si="17"/>
        <v>463164.15875231131</v>
      </c>
      <c r="AJ7" s="125">
        <f t="shared" si="17"/>
        <v>498414.9721302645</v>
      </c>
    </row>
    <row r="8" spans="1:43" s="8" customFormat="1" x14ac:dyDescent="0.3">
      <c r="A8" s="9" t="s">
        <v>37</v>
      </c>
      <c r="B8" s="7">
        <v>80.69</v>
      </c>
      <c r="C8" s="7">
        <v>79.67</v>
      </c>
      <c r="D8" s="7">
        <v>86.71</v>
      </c>
      <c r="E8" s="216">
        <v>83.17</v>
      </c>
      <c r="F8" s="216">
        <v>84.27</v>
      </c>
      <c r="G8" s="216">
        <v>82.36</v>
      </c>
      <c r="I8" s="107">
        <f t="shared" si="0"/>
        <v>0.54863461972466721</v>
      </c>
      <c r="J8" s="107">
        <f t="shared" si="1"/>
        <v>0.55879108757996909</v>
      </c>
      <c r="K8" s="107">
        <f t="shared" si="2"/>
        <v>0.47767041002872823</v>
      </c>
      <c r="L8" s="107">
        <f t="shared" si="3"/>
        <v>0.52187425292852019</v>
      </c>
      <c r="M8" s="107">
        <f t="shared" si="4"/>
        <v>0.50896145347409782</v>
      </c>
      <c r="N8" s="107">
        <f t="shared" si="5"/>
        <v>0.53095684803001875</v>
      </c>
      <c r="O8" s="1"/>
      <c r="P8" s="40">
        <f t="shared" si="6"/>
        <v>40.915137556168439</v>
      </c>
      <c r="Q8" s="40">
        <f t="shared" si="7"/>
        <v>41.520666169701542</v>
      </c>
      <c r="R8" s="40">
        <f t="shared" si="8"/>
        <v>36.684251374096561</v>
      </c>
      <c r="S8" s="40">
        <f t="shared" si="9"/>
        <v>39.319684487782155</v>
      </c>
      <c r="T8" s="40">
        <f t="shared" si="10"/>
        <v>38.549823384309498</v>
      </c>
      <c r="U8" s="40">
        <f t="shared" si="11"/>
        <v>39.861188807733498</v>
      </c>
      <c r="V8" s="40"/>
      <c r="W8" s="8">
        <v>30</v>
      </c>
      <c r="X8" s="43">
        <f t="shared" si="12"/>
        <v>1227.4541266850531</v>
      </c>
      <c r="Y8" s="43">
        <f t="shared" si="13"/>
        <v>1245.6199850910461</v>
      </c>
      <c r="Z8" s="43">
        <f t="shared" si="14"/>
        <v>1100.5275412228968</v>
      </c>
      <c r="AA8" s="43">
        <f t="shared" si="15"/>
        <v>1179.5905346334646</v>
      </c>
      <c r="AB8" s="43">
        <f t="shared" si="16"/>
        <v>1156.4947015292848</v>
      </c>
      <c r="AC8" s="43">
        <f t="shared" si="16"/>
        <v>1195.835664232005</v>
      </c>
      <c r="AE8" s="125">
        <f t="shared" si="18"/>
        <v>453654.41471983201</v>
      </c>
      <c r="AF8" s="125">
        <f t="shared" si="19"/>
        <v>470965.83968156134</v>
      </c>
      <c r="AG8" s="125">
        <f t="shared" si="20"/>
        <v>351483.06347511563</v>
      </c>
      <c r="AH8" s="223">
        <f t="shared" si="21"/>
        <v>411563.89128347032</v>
      </c>
      <c r="AI8" s="223">
        <f t="shared" si="17"/>
        <v>392894.7075012133</v>
      </c>
      <c r="AJ8" s="223">
        <f t="shared" si="17"/>
        <v>425311.19934131426</v>
      </c>
    </row>
    <row r="9" spans="1:43" x14ac:dyDescent="0.3">
      <c r="A9" s="2" t="s">
        <v>38</v>
      </c>
      <c r="B9" s="3">
        <v>82.98</v>
      </c>
      <c r="C9" s="3">
        <v>82.07</v>
      </c>
      <c r="D9" s="3">
        <v>87.7</v>
      </c>
      <c r="E9" s="216">
        <v>84.77</v>
      </c>
      <c r="F9" s="216">
        <v>85.93</v>
      </c>
      <c r="G9" s="216">
        <v>84.14</v>
      </c>
      <c r="I9" s="107">
        <f t="shared" si="0"/>
        <v>0.52403617325083296</v>
      </c>
      <c r="J9" s="107">
        <f t="shared" si="1"/>
        <v>0.5341253202888423</v>
      </c>
      <c r="K9" s="107">
        <f t="shared" si="2"/>
        <v>0.46380697050938335</v>
      </c>
      <c r="L9" s="107">
        <f t="shared" si="3"/>
        <v>0.50285856326124789</v>
      </c>
      <c r="M9" s="107">
        <f t="shared" si="4"/>
        <v>0.48809828512925513</v>
      </c>
      <c r="N9" s="107">
        <f t="shared" si="5"/>
        <v>0.51052373959862951</v>
      </c>
      <c r="P9" s="38">
        <f t="shared" si="6"/>
        <v>39.448578177398446</v>
      </c>
      <c r="Q9" s="38">
        <f t="shared" si="7"/>
        <v>40.050093123804558</v>
      </c>
      <c r="R9" s="38">
        <f t="shared" si="8"/>
        <v>35.857713109953217</v>
      </c>
      <c r="S9" s="38">
        <f t="shared" si="9"/>
        <v>38.185969069819386</v>
      </c>
      <c r="T9" s="38">
        <f t="shared" si="10"/>
        <v>37.305961287589973</v>
      </c>
      <c r="U9" s="38">
        <f t="shared" si="11"/>
        <v>38.642966883054072</v>
      </c>
      <c r="V9" s="38"/>
      <c r="W9">
        <v>31</v>
      </c>
      <c r="X9" s="43">
        <f t="shared" si="12"/>
        <v>1222.9059234993517</v>
      </c>
      <c r="Y9" s="43">
        <f t="shared" si="13"/>
        <v>1241.5528868379413</v>
      </c>
      <c r="Z9" s="43">
        <f t="shared" si="14"/>
        <v>1111.5891064085497</v>
      </c>
      <c r="AA9" s="43">
        <f t="shared" si="15"/>
        <v>1183.7650411644011</v>
      </c>
      <c r="AB9" s="43">
        <f t="shared" si="16"/>
        <v>1156.4847999152892</v>
      </c>
      <c r="AC9" s="43">
        <f t="shared" si="16"/>
        <v>1197.9319733746763</v>
      </c>
      <c r="AE9" s="125">
        <f t="shared" si="18"/>
        <v>428614.854098298</v>
      </c>
      <c r="AF9" s="125">
        <f t="shared" si="19"/>
        <v>444574.17756791849</v>
      </c>
      <c r="AG9" s="125">
        <f t="shared" si="20"/>
        <v>345836.82467345346</v>
      </c>
      <c r="AH9" s="125">
        <f t="shared" si="21"/>
        <v>397222.3387020118</v>
      </c>
      <c r="AI9" s="125">
        <f t="shared" si="17"/>
        <v>376878.58570777014</v>
      </c>
      <c r="AJ9" s="125">
        <f t="shared" si="17"/>
        <v>408271.10110405664</v>
      </c>
    </row>
    <row r="10" spans="1:43" x14ac:dyDescent="0.3">
      <c r="A10" s="2" t="s">
        <v>39</v>
      </c>
      <c r="B10" s="3">
        <v>82.88</v>
      </c>
      <c r="C10" s="3">
        <v>82.05</v>
      </c>
      <c r="D10" s="3">
        <v>87.23</v>
      </c>
      <c r="E10" s="216">
        <v>84.45</v>
      </c>
      <c r="F10" s="216">
        <v>85.54</v>
      </c>
      <c r="G10" s="216">
        <v>83.88</v>
      </c>
      <c r="I10" s="107">
        <f t="shared" si="0"/>
        <v>0.52516619183285851</v>
      </c>
      <c r="J10" s="107">
        <f t="shared" si="1"/>
        <v>0.53434225844004657</v>
      </c>
      <c r="K10" s="107">
        <f t="shared" si="2"/>
        <v>0.47047921630924006</v>
      </c>
      <c r="L10" s="107">
        <f t="shared" si="3"/>
        <v>0.50678175092478417</v>
      </c>
      <c r="M10" s="107">
        <f t="shared" si="4"/>
        <v>0.49315762797769891</v>
      </c>
      <c r="N10" s="107">
        <f t="shared" si="5"/>
        <v>0.51361867704280162</v>
      </c>
      <c r="P10" s="38">
        <f t="shared" si="6"/>
        <v>39.515949885258806</v>
      </c>
      <c r="Q10" s="38">
        <f t="shared" si="7"/>
        <v>40.063026976379362</v>
      </c>
      <c r="R10" s="38">
        <f t="shared" si="8"/>
        <v>36.255512404540674</v>
      </c>
      <c r="S10" s="38">
        <f t="shared" si="9"/>
        <v>38.419869518319416</v>
      </c>
      <c r="T10" s="38">
        <f t="shared" si="10"/>
        <v>37.607599308214191</v>
      </c>
      <c r="U10" s="38">
        <f t="shared" si="11"/>
        <v>38.827487053475615</v>
      </c>
      <c r="V10" s="38"/>
      <c r="W10">
        <v>31</v>
      </c>
      <c r="X10" s="43">
        <f t="shared" si="12"/>
        <v>1224.994446443023</v>
      </c>
      <c r="Y10" s="43">
        <f t="shared" si="13"/>
        <v>1241.9538362677602</v>
      </c>
      <c r="Z10" s="43">
        <f t="shared" si="14"/>
        <v>1123.9208845407609</v>
      </c>
      <c r="AA10" s="43">
        <f t="shared" si="15"/>
        <v>1191.0159550679018</v>
      </c>
      <c r="AB10" s="43">
        <f t="shared" si="16"/>
        <v>1165.8355785546398</v>
      </c>
      <c r="AC10" s="43">
        <f t="shared" si="16"/>
        <v>1203.6520986577441</v>
      </c>
      <c r="AE10" s="125">
        <f t="shared" si="18"/>
        <v>430368.62590814644</v>
      </c>
      <c r="AF10" s="125">
        <f t="shared" si="19"/>
        <v>444924.93192988815</v>
      </c>
      <c r="AG10" s="125">
        <f t="shared" si="20"/>
        <v>354079.55217974086</v>
      </c>
      <c r="AH10" s="125">
        <f t="shared" si="21"/>
        <v>402834.40849352645</v>
      </c>
      <c r="AI10" s="125">
        <f t="shared" si="17"/>
        <v>383718.29576617881</v>
      </c>
      <c r="AJ10" s="125">
        <f t="shared" si="17"/>
        <v>412830.90780966252</v>
      </c>
    </row>
    <row r="11" spans="1:43" s="8" customFormat="1" x14ac:dyDescent="0.3">
      <c r="A11" s="9" t="s">
        <v>40</v>
      </c>
      <c r="B11" s="7">
        <v>80.41</v>
      </c>
      <c r="C11" s="7">
        <v>79.62</v>
      </c>
      <c r="D11" s="7">
        <v>85.42</v>
      </c>
      <c r="E11" s="216">
        <v>82.29</v>
      </c>
      <c r="F11" s="216">
        <v>83.22</v>
      </c>
      <c r="G11" s="216">
        <v>81.64</v>
      </c>
      <c r="I11" s="107">
        <f t="shared" si="0"/>
        <v>0.55146893922404128</v>
      </c>
      <c r="J11" s="107">
        <f t="shared" si="1"/>
        <v>0.55927721463199642</v>
      </c>
      <c r="K11" s="107">
        <f t="shared" si="2"/>
        <v>0.49469429004547749</v>
      </c>
      <c r="L11" s="107">
        <f t="shared" si="3"/>
        <v>0.53172559119644103</v>
      </c>
      <c r="M11" s="107">
        <f t="shared" si="4"/>
        <v>0.52130205840114896</v>
      </c>
      <c r="N11" s="107">
        <f t="shared" si="5"/>
        <v>0.53874538745387457</v>
      </c>
      <c r="O11" s="1"/>
      <c r="P11" s="40">
        <f t="shared" si="6"/>
        <v>41.084119684721124</v>
      </c>
      <c r="Q11" s="40">
        <f t="shared" si="7"/>
        <v>41.549649064543409</v>
      </c>
      <c r="R11" s="40">
        <f t="shared" si="8"/>
        <v>37.699215100695149</v>
      </c>
      <c r="S11" s="40">
        <f t="shared" si="9"/>
        <v>39.9070212753156</v>
      </c>
      <c r="T11" s="40">
        <f t="shared" si="10"/>
        <v>39.285570250060282</v>
      </c>
      <c r="U11" s="40">
        <f t="shared" si="11"/>
        <v>40.325541528183784</v>
      </c>
      <c r="V11" s="40"/>
      <c r="W11" s="8">
        <v>30</v>
      </c>
      <c r="X11" s="43">
        <f t="shared" si="12"/>
        <v>1232.5235905416337</v>
      </c>
      <c r="Y11" s="43">
        <f t="shared" si="13"/>
        <v>1246.4894719363024</v>
      </c>
      <c r="Z11" s="43">
        <f t="shared" si="14"/>
        <v>1130.9764530208545</v>
      </c>
      <c r="AA11" s="43">
        <f t="shared" si="15"/>
        <v>1197.2106382594679</v>
      </c>
      <c r="AB11" s="43">
        <f t="shared" si="16"/>
        <v>1178.5671075018086</v>
      </c>
      <c r="AC11" s="43">
        <f t="shared" si="16"/>
        <v>1209.7662458455136</v>
      </c>
      <c r="AE11" s="125">
        <f t="shared" si="18"/>
        <v>458406.57059167931</v>
      </c>
      <c r="AF11" s="125">
        <f t="shared" si="19"/>
        <v>471814.43894439121</v>
      </c>
      <c r="AG11" s="125">
        <f t="shared" si="20"/>
        <v>373376.92445612611</v>
      </c>
      <c r="AH11" s="223">
        <f t="shared" si="21"/>
        <v>426499.238309276</v>
      </c>
      <c r="AI11" s="223">
        <f t="shared" si="17"/>
        <v>410715.29202064057</v>
      </c>
      <c r="AJ11" s="223">
        <f t="shared" si="17"/>
        <v>437531.02872606448</v>
      </c>
    </row>
    <row r="12" spans="1:43" x14ac:dyDescent="0.3">
      <c r="A12" s="2" t="s">
        <v>41</v>
      </c>
      <c r="B12" s="3">
        <v>76.22</v>
      </c>
      <c r="C12" s="3">
        <v>75.41</v>
      </c>
      <c r="D12" s="3">
        <v>82.75</v>
      </c>
      <c r="E12" s="216">
        <v>78.86</v>
      </c>
      <c r="F12" s="216">
        <v>79.56</v>
      </c>
      <c r="G12" s="216">
        <v>78.010000000000005</v>
      </c>
      <c r="I12" s="107">
        <f t="shared" si="0"/>
        <v>0.58999589995899959</v>
      </c>
      <c r="J12" s="107">
        <f t="shared" si="1"/>
        <v>0.59669288162936085</v>
      </c>
      <c r="K12" s="107">
        <f t="shared" si="2"/>
        <v>0.52662721893491127</v>
      </c>
      <c r="L12" s="107">
        <f t="shared" si="3"/>
        <v>0.56653662765496315</v>
      </c>
      <c r="M12" s="107">
        <f t="shared" si="4"/>
        <v>0.5598591549295775</v>
      </c>
      <c r="N12" s="107">
        <f t="shared" si="5"/>
        <v>0.5743775271334326</v>
      </c>
      <c r="P12" s="38">
        <f t="shared" si="6"/>
        <v>43.381097083739341</v>
      </c>
      <c r="Q12" s="38">
        <f t="shared" si="7"/>
        <v>43.780371130926277</v>
      </c>
      <c r="R12" s="38">
        <f t="shared" si="8"/>
        <v>39.603056321083194</v>
      </c>
      <c r="S12" s="38">
        <f t="shared" si="9"/>
        <v>41.982455268972686</v>
      </c>
      <c r="T12" s="38">
        <f t="shared" si="10"/>
        <v>41.584344345085192</v>
      </c>
      <c r="U12" s="38">
        <f t="shared" si="11"/>
        <v>42.449929695879035</v>
      </c>
      <c r="V12" s="38"/>
      <c r="W12">
        <v>31</v>
      </c>
      <c r="X12" s="43">
        <f t="shared" si="12"/>
        <v>1344.8140095959195</v>
      </c>
      <c r="Y12" s="43">
        <f t="shared" si="13"/>
        <v>1357.1915050587145</v>
      </c>
      <c r="Z12" s="43">
        <f t="shared" si="14"/>
        <v>1227.6947459535791</v>
      </c>
      <c r="AA12" s="43">
        <f t="shared" si="15"/>
        <v>1301.4561133381533</v>
      </c>
      <c r="AB12" s="43">
        <f t="shared" si="16"/>
        <v>1289.114674697641</v>
      </c>
      <c r="AC12" s="43">
        <f t="shared" si="16"/>
        <v>1315.9478205722501</v>
      </c>
      <c r="AE12" s="125">
        <f t="shared" si="18"/>
        <v>547169.82844404993</v>
      </c>
      <c r="AF12" s="125">
        <f t="shared" si="19"/>
        <v>561375.38010382198</v>
      </c>
      <c r="AG12" s="125">
        <f t="shared" si="20"/>
        <v>432648.52926094941</v>
      </c>
      <c r="AH12" s="125">
        <f t="shared" si="21"/>
        <v>500870.25266405212</v>
      </c>
      <c r="AI12" s="125">
        <f t="shared" si="17"/>
        <v>488593.84999511333</v>
      </c>
      <c r="AJ12" s="125">
        <f t="shared" si="17"/>
        <v>515777.31304776343</v>
      </c>
    </row>
    <row r="13" spans="1:43" s="8" customFormat="1" x14ac:dyDescent="0.3">
      <c r="A13" s="9" t="s">
        <v>42</v>
      </c>
      <c r="B13" s="7">
        <v>71.39</v>
      </c>
      <c r="C13" s="7">
        <v>70.52</v>
      </c>
      <c r="D13" s="7">
        <v>79.91</v>
      </c>
      <c r="E13" s="216">
        <v>75.05</v>
      </c>
      <c r="F13" s="216">
        <v>75.52</v>
      </c>
      <c r="G13" s="216">
        <v>73.930000000000007</v>
      </c>
      <c r="I13" s="107">
        <f t="shared" si="0"/>
        <v>0.62693527326991227</v>
      </c>
      <c r="J13" s="107">
        <f t="shared" si="1"/>
        <v>0.63289280469897213</v>
      </c>
      <c r="K13" s="107">
        <f t="shared" si="2"/>
        <v>0.55644267021512528</v>
      </c>
      <c r="L13" s="107">
        <f t="shared" si="3"/>
        <v>0.59959959959959963</v>
      </c>
      <c r="M13" s="107">
        <f t="shared" si="4"/>
        <v>0.59579628132578821</v>
      </c>
      <c r="N13" s="107">
        <f t="shared" si="5"/>
        <v>0.60838065400430774</v>
      </c>
      <c r="O13" s="1"/>
      <c r="P13" s="40">
        <f t="shared" si="6"/>
        <v>45.583422520535954</v>
      </c>
      <c r="Q13" s="40">
        <f t="shared" si="7"/>
        <v>45.938610544336498</v>
      </c>
      <c r="R13" s="40">
        <f t="shared" si="8"/>
        <v>41.380653526409553</v>
      </c>
      <c r="S13" s="40">
        <f t="shared" si="9"/>
        <v>43.953669656311909</v>
      </c>
      <c r="T13" s="40">
        <f t="shared" si="10"/>
        <v>43.726915820827273</v>
      </c>
      <c r="U13" s="40">
        <f t="shared" si="11"/>
        <v>44.477196119920613</v>
      </c>
      <c r="V13" s="40"/>
      <c r="W13" s="8">
        <v>30</v>
      </c>
      <c r="X13" s="43">
        <f t="shared" si="12"/>
        <v>1367.5026756160787</v>
      </c>
      <c r="Y13" s="43">
        <f t="shared" si="13"/>
        <v>1378.158316330095</v>
      </c>
      <c r="Z13" s="43">
        <f t="shared" si="14"/>
        <v>1241.4196057922866</v>
      </c>
      <c r="AA13" s="43">
        <f t="shared" si="15"/>
        <v>1318.6100896893572</v>
      </c>
      <c r="AB13" s="43">
        <f t="shared" si="16"/>
        <v>1311.8074746248183</v>
      </c>
      <c r="AC13" s="43">
        <f t="shared" si="16"/>
        <v>1334.3158835976185</v>
      </c>
      <c r="AE13" s="125">
        <f t="shared" si="18"/>
        <v>611493.87760618806</v>
      </c>
      <c r="AF13" s="125">
        <f t="shared" si="19"/>
        <v>626259.50477942789</v>
      </c>
      <c r="AG13" s="125">
        <f t="shared" si="20"/>
        <v>466892.56321997801</v>
      </c>
      <c r="AH13" s="223">
        <f t="shared" si="21"/>
        <v>549376.41156704142</v>
      </c>
      <c r="AI13" s="223">
        <f t="shared" si="17"/>
        <v>541399.57849644078</v>
      </c>
      <c r="AJ13" s="223">
        <f t="shared" si="17"/>
        <v>568385.0350544306</v>
      </c>
    </row>
    <row r="14" spans="1:43" x14ac:dyDescent="0.3">
      <c r="A14" s="36" t="s">
        <v>43</v>
      </c>
      <c r="B14" s="37">
        <v>67.2</v>
      </c>
      <c r="C14" s="37">
        <v>66.23</v>
      </c>
      <c r="D14" s="37">
        <v>77.64</v>
      </c>
      <c r="E14" s="217">
        <v>71.849999999999994</v>
      </c>
      <c r="F14" s="217">
        <v>72.150000000000006</v>
      </c>
      <c r="G14" s="217">
        <v>70.48</v>
      </c>
      <c r="I14" s="108">
        <f t="shared" si="0"/>
        <v>0.65397923875432529</v>
      </c>
      <c r="J14" s="108">
        <f t="shared" si="1"/>
        <v>0.65969031818955248</v>
      </c>
      <c r="K14" s="108">
        <f t="shared" si="2"/>
        <v>0.57770270270270263</v>
      </c>
      <c r="L14" s="108">
        <f t="shared" si="3"/>
        <v>0.62370649106302922</v>
      </c>
      <c r="M14" s="107">
        <f t="shared" si="4"/>
        <v>0.6215704824976348</v>
      </c>
      <c r="N14" s="107">
        <f t="shared" si="5"/>
        <v>0.63316214233308876</v>
      </c>
      <c r="P14" s="39">
        <f t="shared" si="6"/>
        <v>47.195783742716657</v>
      </c>
      <c r="Q14" s="39">
        <f t="shared" si="7"/>
        <v>47.536278298644902</v>
      </c>
      <c r="R14" s="39">
        <f t="shared" si="8"/>
        <v>42.648176663318914</v>
      </c>
      <c r="S14" s="39">
        <f t="shared" si="9"/>
        <v>45.390922525361582</v>
      </c>
      <c r="T14" s="39">
        <f t="shared" si="10"/>
        <v>45.263573694692766</v>
      </c>
      <c r="U14" s="39">
        <f t="shared" si="11"/>
        <v>45.954668454082537</v>
      </c>
      <c r="V14" s="42"/>
      <c r="W14" s="45">
        <v>31</v>
      </c>
      <c r="X14" s="46">
        <f t="shared" si="12"/>
        <v>1463.0692960242163</v>
      </c>
      <c r="Y14" s="46">
        <f t="shared" si="13"/>
        <v>1473.624627257992</v>
      </c>
      <c r="Z14" s="46">
        <f t="shared" si="14"/>
        <v>1322.0934765628863</v>
      </c>
      <c r="AA14" s="46">
        <f t="shared" si="15"/>
        <v>1407.1185982862091</v>
      </c>
      <c r="AB14" s="46">
        <f t="shared" si="16"/>
        <v>1403.1707845354758</v>
      </c>
      <c r="AC14" s="46">
        <f t="shared" si="16"/>
        <v>1424.5947220765586</v>
      </c>
      <c r="AE14" s="125">
        <f t="shared" si="18"/>
        <v>705360.04569237563</v>
      </c>
      <c r="AF14" s="125">
        <f t="shared" si="19"/>
        <v>722371.63224790501</v>
      </c>
      <c r="AG14" s="125">
        <f t="shared" si="20"/>
        <v>522266.26874420256</v>
      </c>
      <c r="AH14" s="224">
        <f t="shared" si="21"/>
        <v>623809.6565344251</v>
      </c>
      <c r="AI14" s="224">
        <f t="shared" si="17"/>
        <v>618548.34110487974</v>
      </c>
      <c r="AJ14" s="224">
        <f t="shared" si="17"/>
        <v>647836.33032934798</v>
      </c>
    </row>
    <row r="15" spans="1:43" s="1" customFormat="1" x14ac:dyDescent="0.3">
      <c r="A15" s="2" t="s">
        <v>50</v>
      </c>
      <c r="B15" s="3">
        <f>SUMPRODUCT($W$3:$W$14,B3:B14)/365</f>
        <v>73.970986301369862</v>
      </c>
      <c r="C15" s="3">
        <f>SUMPRODUCT($W$3:$W$14,C3:C14)/365</f>
        <v>72.972109589041111</v>
      </c>
      <c r="D15" s="3">
        <f>SUMPRODUCT($W$3:$W$14,D3:D14)/365</f>
        <v>82.204767123287667</v>
      </c>
      <c r="E15" s="3">
        <f>SUMPRODUCT($W$3:$W$14,E3:E14)/365</f>
        <v>77.536684931506855</v>
      </c>
      <c r="F15" s="3">
        <f t="shared" ref="F15:G15" si="22">SUMPRODUCT($W$3:$W$14,F3:F14)/365</f>
        <v>78.244657534246585</v>
      </c>
      <c r="G15" s="3">
        <f t="shared" si="22"/>
        <v>76.445643835616451</v>
      </c>
      <c r="I15" s="107">
        <f>SUMPRODUCT($W$3:$W$14,I3:I14)/365</f>
        <v>0.60128216272420087</v>
      </c>
      <c r="J15" s="107">
        <f>SUMPRODUCT($W$3:$W$14,J3:J14)/365</f>
        <v>0.60900745082954566</v>
      </c>
      <c r="K15" s="107">
        <f>SUMPRODUCT($W$3:$W$14,K3:K14)/365</f>
        <v>0.52863429958796726</v>
      </c>
      <c r="L15" s="107">
        <f>SUMPRODUCT($W$3:$W$14,L3:L14)/365</f>
        <v>0.57336842042252456</v>
      </c>
      <c r="M15" s="229">
        <f t="shared" ref="M15:N15" si="23">SUMPRODUCT($W$3:$W$14,M3:M14)/365</f>
        <v>0.56604539574563295</v>
      </c>
      <c r="N15" s="229">
        <f t="shared" si="23"/>
        <v>0.58248487713407604</v>
      </c>
      <c r="P15" s="3">
        <f>X15/365</f>
        <v>44.053984069800634</v>
      </c>
      <c r="Q15" s="3">
        <f t="shared" ref="Q15:R15" si="24">Y15/365</f>
        <v>44.514565746641296</v>
      </c>
      <c r="R15" s="3">
        <f t="shared" si="24"/>
        <v>39.722718469618393</v>
      </c>
      <c r="S15" s="3">
        <f>AA15/365</f>
        <v>42.389766753774701</v>
      </c>
      <c r="T15" s="3">
        <f t="shared" ref="T15:U15" si="25">AB15/365</f>
        <v>41.953168022538414</v>
      </c>
      <c r="U15" s="3">
        <f t="shared" si="25"/>
        <v>42.933289902917394</v>
      </c>
      <c r="V15" s="38"/>
      <c r="W15" s="43">
        <f>SUM(W3:W14)</f>
        <v>365</v>
      </c>
      <c r="X15" s="43">
        <f>SUM(X3:X14)</f>
        <v>16079.704185477231</v>
      </c>
      <c r="Y15" s="43">
        <f t="shared" ref="Y15:Z15" si="26">SUM(Y3:Y14)</f>
        <v>16247.816497524072</v>
      </c>
      <c r="Z15" s="43">
        <f t="shared" si="26"/>
        <v>14498.792241410712</v>
      </c>
      <c r="AA15" s="43">
        <f t="shared" ref="AA15:AC15" si="27">SUM(AA3:AA14)</f>
        <v>15472.264865127765</v>
      </c>
      <c r="AB15" s="43">
        <f t="shared" si="27"/>
        <v>15312.906328226522</v>
      </c>
      <c r="AC15" s="43">
        <f t="shared" si="27"/>
        <v>15670.650814564848</v>
      </c>
      <c r="AE15" s="126">
        <f>SUM(AE3:AE14)</f>
        <v>6906887.8965142826</v>
      </c>
      <c r="AF15" s="126">
        <f t="shared" ref="AF15:AH15" si="28">SUM(AF3:AF14)</f>
        <v>7113148.4333377117</v>
      </c>
      <c r="AG15" s="126">
        <f t="shared" si="28"/>
        <v>5206674.0148072839</v>
      </c>
      <c r="AH15" s="125">
        <f t="shared" si="28"/>
        <v>6170597.9174557338</v>
      </c>
      <c r="AI15" s="125">
        <f t="shared" ref="AI15:AJ15" si="29">SUM(AI3:AI14)</f>
        <v>6024406.8937838245</v>
      </c>
      <c r="AJ15" s="125">
        <f t="shared" si="29"/>
        <v>6395889.7070802273</v>
      </c>
    </row>
    <row r="16" spans="1:43" s="1" customFormat="1" x14ac:dyDescent="0.3">
      <c r="A16" s="36" t="s">
        <v>31</v>
      </c>
      <c r="B16" s="37">
        <f>'Hot Water Calcs'!AC4</f>
        <v>67.8</v>
      </c>
      <c r="C16" s="37">
        <f>'Hot Water Calcs'!AC8</f>
        <v>66.8</v>
      </c>
      <c r="D16" s="37">
        <v>76.099999999999994</v>
      </c>
      <c r="E16" s="131">
        <f>'Hot Water Calcs'!AC5</f>
        <v>71.400000000000006</v>
      </c>
      <c r="F16" s="131">
        <f>'Hot Water Calcs'!AC10</f>
        <v>72.099999999999994</v>
      </c>
      <c r="G16" s="131">
        <f>'Hot Water Calcs'!AC9</f>
        <v>70.3</v>
      </c>
      <c r="I16" s="108">
        <f t="shared" ref="I16:N16" si="30">(1-((Tset-Tuse)/(Tset-(B16+Tmains_offset))))</f>
        <v>0.60317460317460325</v>
      </c>
      <c r="J16" s="108">
        <f t="shared" si="30"/>
        <v>0.6108949416342413</v>
      </c>
      <c r="K16" s="108">
        <f t="shared" si="30"/>
        <v>0.52494061757719723</v>
      </c>
      <c r="L16" s="108">
        <f t="shared" si="30"/>
        <v>0.57264957264957261</v>
      </c>
      <c r="M16" s="108">
        <f t="shared" si="30"/>
        <v>0.56616052060737543</v>
      </c>
      <c r="N16" s="108">
        <f t="shared" si="30"/>
        <v>0.58246346555323592</v>
      </c>
      <c r="P16" s="37">
        <f t="shared" ref="P16:U16" si="31">(refDWgpd+refCWgpd+I16*( 23.98 + 11.88*Nbr))*Ndu</f>
        <v>44.166811369453626</v>
      </c>
      <c r="Q16" s="37">
        <f t="shared" si="31"/>
        <v>44.627097948417251</v>
      </c>
      <c r="R16" s="37">
        <f t="shared" si="31"/>
        <v>39.502501148136282</v>
      </c>
      <c r="S16" s="37">
        <f t="shared" si="31"/>
        <v>42.3469090495513</v>
      </c>
      <c r="T16" s="37">
        <f t="shared" si="31"/>
        <v>41.960031766795503</v>
      </c>
      <c r="U16" s="37">
        <f t="shared" si="31"/>
        <v>42.932013344467705</v>
      </c>
      <c r="V16" s="42"/>
      <c r="AE16" s="127">
        <f>AE15/10^5/0.62</f>
        <v>111.40141768571424</v>
      </c>
      <c r="AF16" s="127">
        <f t="shared" ref="AF16:AJ16" si="32">AF15/10^5/0.62</f>
        <v>114.72820053770502</v>
      </c>
      <c r="AG16" s="127">
        <f t="shared" si="32"/>
        <v>83.978613142052964</v>
      </c>
      <c r="AH16" s="127">
        <f t="shared" si="32"/>
        <v>99.525772862189257</v>
      </c>
      <c r="AI16" s="127">
        <f t="shared" si="32"/>
        <v>97.167853125545548</v>
      </c>
      <c r="AJ16" s="127">
        <f t="shared" si="32"/>
        <v>103.15951140451979</v>
      </c>
      <c r="AK16" s="1" t="s">
        <v>131</v>
      </c>
    </row>
    <row r="17" spans="1:37" x14ac:dyDescent="0.3">
      <c r="A17" s="2" t="s">
        <v>30</v>
      </c>
      <c r="B17" s="3">
        <f>B15-B16</f>
        <v>6.1709863013698651</v>
      </c>
      <c r="C17" s="3">
        <f>C15-C16</f>
        <v>6.1721095890411135</v>
      </c>
      <c r="D17" s="3">
        <f>D15-D16</f>
        <v>6.1047671232876723</v>
      </c>
      <c r="E17" s="3">
        <f>E15-E16</f>
        <v>6.1366849315068492</v>
      </c>
      <c r="F17" s="3">
        <f t="shared" ref="F17:G17" si="33">F15-F16</f>
        <v>6.1446575342465906</v>
      </c>
      <c r="G17" s="3">
        <f t="shared" si="33"/>
        <v>6.145643835616454</v>
      </c>
      <c r="I17" s="107">
        <f t="shared" ref="I17:K17" si="34">I15-I16</f>
        <v>-1.8924404504023773E-3</v>
      </c>
      <c r="J17" s="107">
        <f t="shared" si="34"/>
        <v>-1.8874908046956351E-3</v>
      </c>
      <c r="K17" s="107">
        <f t="shared" si="34"/>
        <v>3.6936820107700274E-3</v>
      </c>
      <c r="L17" s="107">
        <f t="shared" ref="L17:N17" si="35">L15-L16</f>
        <v>7.1884777295194713E-4</v>
      </c>
      <c r="M17" s="107">
        <f t="shared" si="35"/>
        <v>-1.1512486174247716E-4</v>
      </c>
      <c r="N17" s="107">
        <f t="shared" si="35"/>
        <v>2.1411580840124955E-5</v>
      </c>
      <c r="P17" s="3">
        <f>P15-P16</f>
        <v>-0.11282729965299154</v>
      </c>
      <c r="Q17" s="3">
        <f>Q15-Q16</f>
        <v>-0.1125322017759558</v>
      </c>
      <c r="R17" s="3">
        <f>R15-R16</f>
        <v>0.22021732148211015</v>
      </c>
      <c r="S17" s="3">
        <f>S15-S16</f>
        <v>4.2857704223401072E-2</v>
      </c>
      <c r="T17" s="3">
        <f t="shared" ref="T17:U17" si="36">T15-T16</f>
        <v>-6.8637442570889107E-3</v>
      </c>
      <c r="U17" s="3">
        <f t="shared" si="36"/>
        <v>1.2765584496889915E-3</v>
      </c>
      <c r="V17" s="1"/>
      <c r="X17" s="157" t="s">
        <v>190</v>
      </c>
      <c r="AE17" s="125">
        <f>AE15*0.000293/0.95</f>
        <v>2130.2296354512473</v>
      </c>
      <c r="AF17" s="125">
        <f t="shared" ref="AF17:AJ17" si="37">AF15*0.000293/0.95</f>
        <v>2193.8447273346842</v>
      </c>
      <c r="AG17" s="125">
        <f t="shared" si="37"/>
        <v>1605.8478803563521</v>
      </c>
      <c r="AH17" s="125">
        <f t="shared" si="37"/>
        <v>1903.1423050679264</v>
      </c>
      <c r="AI17" s="125">
        <f t="shared" si="37"/>
        <v>1858.0539156617481</v>
      </c>
      <c r="AJ17" s="125">
        <f t="shared" si="37"/>
        <v>1972.6270359731652</v>
      </c>
      <c r="AK17" t="s">
        <v>132</v>
      </c>
    </row>
    <row r="18" spans="1:37" x14ac:dyDescent="0.3">
      <c r="Q18" s="2" t="s">
        <v>49</v>
      </c>
      <c r="R18" s="47">
        <f>AVERAGE(P17:U17)</f>
        <v>5.3547230781939943E-3</v>
      </c>
      <c r="S18" s="47"/>
      <c r="T18" s="47"/>
      <c r="U18" s="47"/>
      <c r="V18" s="1"/>
    </row>
    <row r="19" spans="1:37" x14ac:dyDescent="0.3">
      <c r="A19" s="2" t="s">
        <v>46</v>
      </c>
      <c r="B19" s="102">
        <v>6.8</v>
      </c>
      <c r="C19" t="s">
        <v>111</v>
      </c>
    </row>
  </sheetData>
  <sheetProtection algorithmName="SHA-512" hashValue="uYA7EkyTtUTKaoKVtQaGp1w4f2MRs93qOR/hqfm+t/0JBEUtdCqo03eiY57tarIDNVaDb1aoRGJPwtx24+uzgQ==" saltValue="aE7oZScHEQen/qME+z8Y2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>
      <selection activeCell="A26" sqref="A26"/>
    </sheetView>
  </sheetViews>
  <sheetFormatPr defaultColWidth="9.109375" defaultRowHeight="14.4" x14ac:dyDescent="0.3"/>
  <cols>
    <col min="1" max="1" width="6.6640625" style="1" customWidth="1"/>
    <col min="2" max="2" width="9.109375" style="1"/>
    <col min="3" max="4" width="9.109375" style="1" customWidth="1"/>
    <col min="5" max="8" width="9.109375" style="1"/>
    <col min="9" max="10" width="9.109375" style="1" customWidth="1"/>
    <col min="11" max="11" width="9.109375" style="1"/>
    <col min="12" max="15" width="9.109375" style="1" customWidth="1"/>
    <col min="16" max="16" width="12" style="1" customWidth="1"/>
    <col min="17" max="17" width="9.109375" style="1" customWidth="1"/>
    <col min="18" max="16384" width="9.109375" style="1"/>
  </cols>
  <sheetData>
    <row r="1" spans="1:25" x14ac:dyDescent="0.3">
      <c r="A1" s="129" t="s">
        <v>186</v>
      </c>
      <c r="K1" s="38"/>
      <c r="L1" s="38"/>
      <c r="M1" s="38"/>
      <c r="N1" s="38"/>
      <c r="O1" s="38"/>
      <c r="P1" s="38"/>
    </row>
    <row r="2" spans="1:25" x14ac:dyDescent="0.3">
      <c r="A2" s="4" t="s">
        <v>187</v>
      </c>
      <c r="K2" s="38"/>
      <c r="L2" s="38"/>
      <c r="M2" s="38"/>
      <c r="N2" s="38"/>
      <c r="O2" s="38"/>
      <c r="P2" s="38"/>
    </row>
    <row r="3" spans="1:25" x14ac:dyDescent="0.3">
      <c r="B3" s="2" t="s">
        <v>51</v>
      </c>
      <c r="C3" s="2" t="s">
        <v>75</v>
      </c>
      <c r="E3" s="50"/>
      <c r="K3" s="38"/>
      <c r="L3" s="38"/>
      <c r="M3" s="38"/>
      <c r="N3" s="38"/>
      <c r="O3" s="38"/>
      <c r="P3" s="38"/>
    </row>
    <row r="4" spans="1:25" x14ac:dyDescent="0.3">
      <c r="B4" s="1">
        <v>1</v>
      </c>
      <c r="C4" s="50">
        <v>0.24</v>
      </c>
    </row>
    <row r="5" spans="1:25" x14ac:dyDescent="0.3">
      <c r="B5" s="1">
        <v>2</v>
      </c>
      <c r="C5" s="50">
        <v>0.224</v>
      </c>
      <c r="E5" s="50"/>
    </row>
    <row r="6" spans="1:25" x14ac:dyDescent="0.3">
      <c r="B6" s="5">
        <v>3</v>
      </c>
      <c r="C6" s="63">
        <v>0.20799999999999999</v>
      </c>
      <c r="E6" s="50"/>
    </row>
    <row r="7" spans="1:25" x14ac:dyDescent="0.3">
      <c r="B7" s="1">
        <v>4</v>
      </c>
      <c r="C7" s="50">
        <v>0.192</v>
      </c>
      <c r="E7" s="50"/>
    </row>
    <row r="8" spans="1:25" x14ac:dyDescent="0.3">
      <c r="B8" s="1">
        <v>5</v>
      </c>
      <c r="C8" s="50">
        <v>0.17599999999999999</v>
      </c>
      <c r="E8" s="50"/>
    </row>
    <row r="9" spans="1:25" x14ac:dyDescent="0.3">
      <c r="B9" s="1">
        <v>6</v>
      </c>
      <c r="C9" s="50">
        <v>0.16</v>
      </c>
      <c r="E9" s="50"/>
    </row>
    <row r="10" spans="1:25" x14ac:dyDescent="0.3">
      <c r="B10" s="1" t="s">
        <v>56</v>
      </c>
      <c r="C10" s="50"/>
    </row>
    <row r="11" spans="1:25" x14ac:dyDescent="0.3">
      <c r="B11" s="1" t="s">
        <v>76</v>
      </c>
      <c r="C11" s="50"/>
    </row>
    <row r="12" spans="1:25" x14ac:dyDescent="0.3">
      <c r="A12" s="129" t="s">
        <v>66</v>
      </c>
      <c r="K12" s="60"/>
      <c r="L12" s="60"/>
      <c r="M12" s="60"/>
      <c r="R12" s="60"/>
      <c r="S12" s="60"/>
      <c r="T12" s="53"/>
      <c r="U12" s="60"/>
      <c r="V12" s="60"/>
      <c r="W12" s="60"/>
      <c r="X12" s="60"/>
    </row>
    <row r="13" spans="1:25" x14ac:dyDescent="0.3">
      <c r="A13" s="4" t="s">
        <v>188</v>
      </c>
      <c r="J13" s="50">
        <v>0.9</v>
      </c>
      <c r="K13" s="60"/>
      <c r="L13" s="60"/>
      <c r="M13" s="60"/>
      <c r="N13" s="76" t="s">
        <v>79</v>
      </c>
      <c r="O13" s="76"/>
      <c r="P13" s="109"/>
      <c r="R13" s="60"/>
      <c r="S13" s="60"/>
      <c r="T13" s="53"/>
      <c r="U13" s="60"/>
      <c r="V13" s="60"/>
      <c r="W13" s="60"/>
      <c r="X13" s="60"/>
    </row>
    <row r="14" spans="1:25" x14ac:dyDescent="0.3">
      <c r="A14" s="2" t="s">
        <v>0</v>
      </c>
      <c r="B14" s="2" t="s">
        <v>51</v>
      </c>
      <c r="C14" s="2" t="s">
        <v>52</v>
      </c>
      <c r="D14" s="2" t="s">
        <v>71</v>
      </c>
      <c r="E14" s="71" t="s">
        <v>107</v>
      </c>
      <c r="F14" s="2" t="s">
        <v>54</v>
      </c>
      <c r="G14" s="71" t="s">
        <v>55</v>
      </c>
      <c r="H14" s="2" t="s">
        <v>67</v>
      </c>
      <c r="I14" s="71" t="s">
        <v>68</v>
      </c>
      <c r="J14" s="77" t="s">
        <v>194</v>
      </c>
      <c r="K14" s="52" t="s">
        <v>69</v>
      </c>
      <c r="L14" s="52" t="s">
        <v>112</v>
      </c>
      <c r="M14" s="52" t="s">
        <v>70</v>
      </c>
      <c r="N14" s="74" t="s">
        <v>77</v>
      </c>
      <c r="O14" s="74" t="s">
        <v>78</v>
      </c>
      <c r="P14" s="74" t="s">
        <v>114</v>
      </c>
      <c r="R14" s="60"/>
      <c r="S14" s="60"/>
      <c r="T14" s="60"/>
      <c r="U14" s="60"/>
      <c r="V14" s="60"/>
      <c r="W14" s="60"/>
      <c r="X14" s="60"/>
      <c r="Y14" s="60"/>
    </row>
    <row r="15" spans="1:25" x14ac:dyDescent="0.3">
      <c r="A15" s="1">
        <v>1</v>
      </c>
      <c r="B15" s="3">
        <f>1.09+0.54*A15</f>
        <v>1.6300000000000001</v>
      </c>
      <c r="C15" s="38">
        <f xml:space="preserve"> ((88.4+34.9*A15)*8.16)/365 + ((4.52*(164+46.5*A15))*((3*2.08+1.59)/(2.874*2.08+1.59)))/365</f>
        <v>5.4535272005974171</v>
      </c>
      <c r="D15" s="33">
        <f>1-((Tset-Tuse)/(Tset-63.2))</f>
        <v>0.6763754045307443</v>
      </c>
      <c r="E15" s="70">
        <f>C15+22*B15*D15</f>
        <v>29.708349207069908</v>
      </c>
      <c r="F15" s="50">
        <f>(0.256-0.016*B15)</f>
        <v>0.22992000000000001</v>
      </c>
      <c r="G15" s="69">
        <f>E15*F15</f>
        <v>6.8305436496895133</v>
      </c>
      <c r="H15" s="3">
        <f>(9.8*A15^0.43)*D15</f>
        <v>6.6284789644012942</v>
      </c>
      <c r="I15" s="69">
        <f>E15-C15-G15</f>
        <v>17.424278356782978</v>
      </c>
      <c r="J15" s="78">
        <f>$J$13*(0.05+I15/E15)</f>
        <v>0.57286004405026847</v>
      </c>
      <c r="K15" s="64">
        <f>(14.6+10*A15)*D15</f>
        <v>16.63883495145631</v>
      </c>
      <c r="L15" s="64">
        <f t="shared" ref="L15:L23" si="0">C15+H15+K15</f>
        <v>28.72084111645502</v>
      </c>
      <c r="M15" s="66">
        <f t="shared" ref="M15:M23" si="1">(L15-E15)/E15</f>
        <v>-3.3240086271097279E-2</v>
      </c>
      <c r="N15" s="75">
        <f t="shared" ref="N15:N23" si="2">G15/D15</f>
        <v>10.098746352890238</v>
      </c>
      <c r="O15" s="75">
        <f t="shared" ref="O15:O23" si="3">I15/D15</f>
        <v>25.761253647109761</v>
      </c>
      <c r="P15" s="75">
        <f>N15+O15</f>
        <v>35.86</v>
      </c>
      <c r="R15" s="60"/>
      <c r="S15" s="60"/>
      <c r="T15" s="60"/>
      <c r="U15" s="60"/>
      <c r="V15" s="60"/>
      <c r="W15" s="60"/>
      <c r="X15" s="60"/>
      <c r="Y15" s="60"/>
    </row>
    <row r="16" spans="1:25" x14ac:dyDescent="0.3">
      <c r="A16" s="1">
        <v>2</v>
      </c>
      <c r="B16" s="3">
        <f t="shared" ref="B16:B23" si="4">1.09+0.54*A16</f>
        <v>2.17</v>
      </c>
      <c r="C16" s="38">
        <f t="shared" ref="C16:C23" si="5" xml:space="preserve"> ((88.4+34.9*A16)*8.16)/365 + ((4.52*(164+46.5*A16))*((3*2.08+1.59)/(2.874*2.08+1.59)))/365</f>
        <v>6.8295343643905992</v>
      </c>
      <c r="D16" s="33">
        <f>$D$15</f>
        <v>0.6763754045307443</v>
      </c>
      <c r="E16" s="70">
        <f t="shared" ref="E16:E23" si="6">C16+22*B16*D16</f>
        <v>39.119696176688329</v>
      </c>
      <c r="F16" s="50">
        <f t="shared" ref="F16:F23" si="7">(0.256-0.016*B16)</f>
        <v>0.22128</v>
      </c>
      <c r="G16" s="69">
        <f t="shared" ref="G16:G23" si="8">E16*F16</f>
        <v>8.6564063699775939</v>
      </c>
      <c r="H16" s="3">
        <f t="shared" ref="H16:H23" si="9">(9.8*A16^0.43)*D16</f>
        <v>8.9301094243893431</v>
      </c>
      <c r="I16" s="69">
        <f t="shared" ref="I16:I23" si="10">E16-C16-G16</f>
        <v>23.633755442320137</v>
      </c>
      <c r="J16" s="78">
        <f t="shared" ref="J16:J23" si="11">$J$13*(0.05+I16/E16)</f>
        <v>0.58872559035270011</v>
      </c>
      <c r="K16" s="64">
        <f t="shared" ref="K16:K23" si="12">(14.6+10*A16)*D16</f>
        <v>23.402588996763754</v>
      </c>
      <c r="L16" s="64">
        <f t="shared" si="0"/>
        <v>39.162232785543694</v>
      </c>
      <c r="M16" s="66">
        <f t="shared" si="1"/>
        <v>1.0873450719873512E-3</v>
      </c>
      <c r="N16" s="75">
        <f t="shared" si="2"/>
        <v>12.798227599631947</v>
      </c>
      <c r="O16" s="75">
        <f t="shared" si="3"/>
        <v>34.941772400368052</v>
      </c>
      <c r="P16" s="75">
        <f t="shared" ref="P16:P23" si="13">N16+O16</f>
        <v>47.739999999999995</v>
      </c>
      <c r="R16" s="60"/>
      <c r="S16" s="60"/>
      <c r="T16" s="60"/>
      <c r="U16" s="60"/>
      <c r="V16" s="60"/>
      <c r="W16" s="60"/>
      <c r="X16" s="60"/>
      <c r="Y16" s="60"/>
    </row>
    <row r="17" spans="1:25" x14ac:dyDescent="0.3">
      <c r="A17" s="5">
        <v>3</v>
      </c>
      <c r="B17" s="6">
        <f t="shared" si="4"/>
        <v>2.71</v>
      </c>
      <c r="C17" s="62">
        <f t="shared" si="5"/>
        <v>8.2055415281837814</v>
      </c>
      <c r="D17" s="79">
        <f t="shared" ref="D17:D23" si="14">$D$15</f>
        <v>0.6763754045307443</v>
      </c>
      <c r="E17" s="62">
        <f t="shared" si="6"/>
        <v>48.53104314630675</v>
      </c>
      <c r="F17" s="63">
        <f t="shared" si="7"/>
        <v>0.21264</v>
      </c>
      <c r="G17" s="6">
        <f t="shared" si="8"/>
        <v>10.319641014630667</v>
      </c>
      <c r="H17" s="6">
        <f t="shared" si="9"/>
        <v>10.631046601775392</v>
      </c>
      <c r="I17" s="6">
        <f t="shared" si="10"/>
        <v>30.005860603492302</v>
      </c>
      <c r="J17" s="79">
        <f t="shared" si="11"/>
        <v>0.60145361798076658</v>
      </c>
      <c r="K17" s="65">
        <f t="shared" si="12"/>
        <v>30.166343042071198</v>
      </c>
      <c r="L17" s="110">
        <f t="shared" si="0"/>
        <v>49.002931172030372</v>
      </c>
      <c r="M17" s="67">
        <f t="shared" si="1"/>
        <v>9.723426391248572E-3</v>
      </c>
      <c r="N17" s="73">
        <f t="shared" si="2"/>
        <v>15.25726829435826</v>
      </c>
      <c r="O17" s="73">
        <f t="shared" si="3"/>
        <v>44.362731705641728</v>
      </c>
      <c r="P17" s="73">
        <f t="shared" si="13"/>
        <v>59.61999999999999</v>
      </c>
      <c r="R17" s="60"/>
      <c r="S17" s="60"/>
      <c r="T17" s="60"/>
      <c r="U17" s="60"/>
      <c r="V17" s="60"/>
      <c r="W17" s="60"/>
      <c r="X17" s="60"/>
      <c r="Y17" s="60"/>
    </row>
    <row r="18" spans="1:25" x14ac:dyDescent="0.3">
      <c r="A18" s="1">
        <v>4</v>
      </c>
      <c r="B18" s="3">
        <f t="shared" si="4"/>
        <v>3.25</v>
      </c>
      <c r="C18" s="38">
        <f t="shared" si="5"/>
        <v>9.5815486919769626</v>
      </c>
      <c r="D18" s="33">
        <f t="shared" si="14"/>
        <v>0.6763754045307443</v>
      </c>
      <c r="E18" s="70">
        <f t="shared" si="6"/>
        <v>57.942390115925178</v>
      </c>
      <c r="F18" s="50">
        <f t="shared" si="7"/>
        <v>0.20400000000000001</v>
      </c>
      <c r="G18" s="69">
        <f t="shared" si="8"/>
        <v>11.820247583648737</v>
      </c>
      <c r="H18" s="3">
        <f t="shared" si="9"/>
        <v>12.030943261622065</v>
      </c>
      <c r="I18" s="69">
        <f t="shared" si="10"/>
        <v>36.540593840299479</v>
      </c>
      <c r="J18" s="78">
        <f t="shared" si="11"/>
        <v>0.61257297016007684</v>
      </c>
      <c r="K18" s="64">
        <f t="shared" si="12"/>
        <v>36.930097087378641</v>
      </c>
      <c r="L18" s="64">
        <f t="shared" si="0"/>
        <v>58.542589040977667</v>
      </c>
      <c r="M18" s="66">
        <f t="shared" si="1"/>
        <v>1.0358546201695724E-2</v>
      </c>
      <c r="N18" s="75">
        <f t="shared" si="2"/>
        <v>17.475868437069185</v>
      </c>
      <c r="O18" s="75">
        <f t="shared" si="3"/>
        <v>54.024131562930812</v>
      </c>
      <c r="P18" s="75">
        <f t="shared" si="13"/>
        <v>71.5</v>
      </c>
      <c r="R18" s="60"/>
      <c r="S18" s="60"/>
      <c r="T18" s="60"/>
      <c r="U18" s="60"/>
      <c r="V18" s="60"/>
      <c r="W18" s="60"/>
      <c r="X18" s="60"/>
      <c r="Y18" s="60"/>
    </row>
    <row r="19" spans="1:25" x14ac:dyDescent="0.3">
      <c r="A19" s="1">
        <v>5</v>
      </c>
      <c r="B19" s="3">
        <f t="shared" si="4"/>
        <v>3.79</v>
      </c>
      <c r="C19" s="38">
        <f t="shared" si="5"/>
        <v>10.957555855770146</v>
      </c>
      <c r="D19" s="33">
        <f t="shared" si="14"/>
        <v>0.6763754045307443</v>
      </c>
      <c r="E19" s="70">
        <f t="shared" si="6"/>
        <v>67.3537370855436</v>
      </c>
      <c r="F19" s="50">
        <f t="shared" si="7"/>
        <v>0.19536000000000001</v>
      </c>
      <c r="G19" s="69">
        <f t="shared" si="8"/>
        <v>13.158226077031799</v>
      </c>
      <c r="H19" s="3">
        <f t="shared" si="9"/>
        <v>13.242530572382048</v>
      </c>
      <c r="I19" s="69">
        <f t="shared" si="10"/>
        <v>43.237955152741655</v>
      </c>
      <c r="J19" s="78">
        <f t="shared" si="11"/>
        <v>0.62275798821740203</v>
      </c>
      <c r="K19" s="64">
        <f t="shared" si="12"/>
        <v>43.693851132686078</v>
      </c>
      <c r="L19" s="64">
        <f t="shared" si="0"/>
        <v>67.893937560838268</v>
      </c>
      <c r="M19" s="66">
        <f t="shared" si="1"/>
        <v>8.0203489616111207E-3</v>
      </c>
      <c r="N19" s="75">
        <f t="shared" si="2"/>
        <v>19.454028027764718</v>
      </c>
      <c r="O19" s="75">
        <f t="shared" si="3"/>
        <v>63.925971972235274</v>
      </c>
      <c r="P19" s="75">
        <f t="shared" si="13"/>
        <v>83.38</v>
      </c>
      <c r="R19" s="60"/>
      <c r="S19" s="60"/>
      <c r="T19" s="60"/>
      <c r="U19" s="60"/>
      <c r="V19" s="60"/>
      <c r="W19" s="60"/>
      <c r="X19" s="60"/>
      <c r="Y19" s="60"/>
    </row>
    <row r="20" spans="1:25" x14ac:dyDescent="0.3">
      <c r="A20" s="1">
        <v>6</v>
      </c>
      <c r="B20" s="3">
        <f t="shared" si="4"/>
        <v>4.33</v>
      </c>
      <c r="C20" s="38">
        <f t="shared" si="5"/>
        <v>12.333563019563325</v>
      </c>
      <c r="D20" s="33">
        <f t="shared" si="14"/>
        <v>0.6763754045307443</v>
      </c>
      <c r="E20" s="70">
        <f t="shared" si="6"/>
        <v>76.765084055162035</v>
      </c>
      <c r="F20" s="50">
        <f t="shared" si="7"/>
        <v>0.18672</v>
      </c>
      <c r="G20" s="69">
        <f t="shared" si="8"/>
        <v>14.333576494779855</v>
      </c>
      <c r="H20" s="3">
        <f t="shared" si="9"/>
        <v>14.322502939135703</v>
      </c>
      <c r="I20" s="69">
        <f t="shared" si="10"/>
        <v>50.097944540818851</v>
      </c>
      <c r="J20" s="78">
        <f t="shared" si="11"/>
        <v>0.63235231833182681</v>
      </c>
      <c r="K20" s="64">
        <f t="shared" si="12"/>
        <v>50.457605177993521</v>
      </c>
      <c r="L20" s="64">
        <f t="shared" si="0"/>
        <v>77.113671136692545</v>
      </c>
      <c r="M20" s="66">
        <f t="shared" si="1"/>
        <v>4.5409587681819255E-3</v>
      </c>
      <c r="N20" s="75">
        <f t="shared" si="2"/>
        <v>21.191747066444858</v>
      </c>
      <c r="O20" s="75">
        <f t="shared" si="3"/>
        <v>74.068252933555144</v>
      </c>
      <c r="P20" s="75">
        <f t="shared" si="13"/>
        <v>95.26</v>
      </c>
      <c r="R20" s="60"/>
      <c r="S20" s="60"/>
      <c r="T20" s="60"/>
      <c r="U20" s="60"/>
      <c r="V20" s="60"/>
      <c r="W20" s="60"/>
      <c r="X20" s="60"/>
      <c r="Y20" s="60"/>
    </row>
    <row r="21" spans="1:25" x14ac:dyDescent="0.3">
      <c r="A21" s="1">
        <v>7</v>
      </c>
      <c r="B21" s="3">
        <f t="shared" si="4"/>
        <v>4.87</v>
      </c>
      <c r="C21" s="38">
        <f t="shared" si="5"/>
        <v>13.709570183356508</v>
      </c>
      <c r="D21" s="33">
        <f t="shared" si="14"/>
        <v>0.6763754045307443</v>
      </c>
      <c r="E21" s="70">
        <f t="shared" si="6"/>
        <v>86.176431024780442</v>
      </c>
      <c r="F21" s="50">
        <f t="shared" si="7"/>
        <v>0.17808000000000002</v>
      </c>
      <c r="G21" s="69">
        <f t="shared" si="8"/>
        <v>15.346298836892903</v>
      </c>
      <c r="H21" s="3">
        <f t="shared" si="9"/>
        <v>15.30403814831954</v>
      </c>
      <c r="I21" s="69">
        <f t="shared" si="10"/>
        <v>57.120562004531038</v>
      </c>
      <c r="J21" s="78">
        <f t="shared" si="11"/>
        <v>0.6415494879834972</v>
      </c>
      <c r="K21" s="64">
        <f t="shared" si="12"/>
        <v>57.221359223300965</v>
      </c>
      <c r="L21" s="64">
        <f t="shared" si="0"/>
        <v>86.234967554977004</v>
      </c>
      <c r="M21" s="66">
        <f t="shared" si="1"/>
        <v>6.7926380218426426E-4</v>
      </c>
      <c r="N21" s="75">
        <f t="shared" si="2"/>
        <v>22.689025553109605</v>
      </c>
      <c r="O21" s="75">
        <f t="shared" si="3"/>
        <v>84.450974446890399</v>
      </c>
      <c r="P21" s="75">
        <f t="shared" si="13"/>
        <v>107.14</v>
      </c>
      <c r="R21" s="60"/>
      <c r="S21" s="60"/>
      <c r="T21" s="60"/>
      <c r="U21" s="60"/>
      <c r="V21" s="60"/>
      <c r="W21" s="60"/>
      <c r="X21" s="60"/>
      <c r="Y21" s="60"/>
    </row>
    <row r="22" spans="1:25" x14ac:dyDescent="0.3">
      <c r="A22" s="1">
        <v>8</v>
      </c>
      <c r="B22" s="3">
        <f t="shared" si="4"/>
        <v>5.41</v>
      </c>
      <c r="C22" s="38">
        <f t="shared" si="5"/>
        <v>15.085577347149693</v>
      </c>
      <c r="D22" s="33">
        <f t="shared" si="14"/>
        <v>0.6763754045307443</v>
      </c>
      <c r="E22" s="70">
        <f t="shared" si="6"/>
        <v>95.587777994398891</v>
      </c>
      <c r="F22" s="50">
        <f t="shared" si="7"/>
        <v>0.16944000000000001</v>
      </c>
      <c r="G22" s="69">
        <f t="shared" si="8"/>
        <v>16.196393103370948</v>
      </c>
      <c r="H22" s="3">
        <f t="shared" si="9"/>
        <v>16.208490723423264</v>
      </c>
      <c r="I22" s="69">
        <f t="shared" si="10"/>
        <v>64.305807543878245</v>
      </c>
      <c r="J22" s="78">
        <f t="shared" si="11"/>
        <v>0.65046680761720099</v>
      </c>
      <c r="K22" s="64">
        <f t="shared" si="12"/>
        <v>63.985113268608409</v>
      </c>
      <c r="L22" s="64">
        <f t="shared" si="0"/>
        <v>95.279181339181363</v>
      </c>
      <c r="M22" s="66">
        <f t="shared" si="1"/>
        <v>-3.228411222568753E-3</v>
      </c>
      <c r="N22" s="75">
        <f t="shared" si="2"/>
        <v>23.945863487758963</v>
      </c>
      <c r="O22" s="75">
        <f t="shared" si="3"/>
        <v>95.074136512241054</v>
      </c>
      <c r="P22" s="75">
        <f t="shared" si="13"/>
        <v>119.02000000000001</v>
      </c>
      <c r="R22" s="60"/>
      <c r="S22" s="60"/>
      <c r="T22" s="60"/>
      <c r="U22" s="60"/>
      <c r="V22" s="60"/>
      <c r="W22" s="60"/>
      <c r="X22" s="60"/>
      <c r="Y22" s="60"/>
    </row>
    <row r="23" spans="1:25" x14ac:dyDescent="0.3">
      <c r="A23" s="1">
        <v>9</v>
      </c>
      <c r="B23" s="3">
        <f t="shared" si="4"/>
        <v>5.95</v>
      </c>
      <c r="C23" s="38">
        <f t="shared" si="5"/>
        <v>16.461584510942874</v>
      </c>
      <c r="D23" s="33">
        <f t="shared" si="14"/>
        <v>0.6763754045307443</v>
      </c>
      <c r="E23" s="70">
        <f t="shared" si="6"/>
        <v>104.9991249640173</v>
      </c>
      <c r="F23" s="50">
        <f t="shared" si="7"/>
        <v>0.1608</v>
      </c>
      <c r="G23" s="69">
        <f t="shared" si="8"/>
        <v>16.88385929421398</v>
      </c>
      <c r="H23" s="3">
        <f t="shared" si="9"/>
        <v>17.050540924410761</v>
      </c>
      <c r="I23" s="69">
        <f t="shared" si="10"/>
        <v>71.653681158860451</v>
      </c>
      <c r="J23" s="78">
        <f t="shared" si="11"/>
        <v>0.65917952830630022</v>
      </c>
      <c r="K23" s="64">
        <f t="shared" si="12"/>
        <v>70.748867313915852</v>
      </c>
      <c r="L23" s="64">
        <f t="shared" si="0"/>
        <v>104.26099274926949</v>
      </c>
      <c r="M23" s="66">
        <f t="shared" si="1"/>
        <v>-7.0298892014648857E-3</v>
      </c>
      <c r="N23" s="75">
        <f t="shared" si="2"/>
        <v>24.962260870392921</v>
      </c>
      <c r="O23" s="75">
        <f t="shared" si="3"/>
        <v>105.93773912960708</v>
      </c>
      <c r="P23" s="75">
        <f t="shared" si="13"/>
        <v>130.9</v>
      </c>
      <c r="R23" s="61"/>
      <c r="S23" s="61"/>
      <c r="T23" s="61"/>
      <c r="U23" s="61"/>
      <c r="V23" s="60"/>
      <c r="W23" s="60"/>
      <c r="X23" s="60"/>
      <c r="Y23" s="60"/>
    </row>
    <row r="24" spans="1:25" x14ac:dyDescent="0.3">
      <c r="A24" s="4" t="s">
        <v>185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60"/>
      <c r="W24" s="60"/>
      <c r="X24" s="60"/>
      <c r="Y24" s="60"/>
    </row>
    <row r="25" spans="1:25" ht="6" customHeight="1" x14ac:dyDescent="0.3">
      <c r="A25" s="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60"/>
      <c r="W25" s="60"/>
      <c r="X25" s="60"/>
      <c r="Y25" s="60"/>
    </row>
    <row r="26" spans="1:25" x14ac:dyDescent="0.3">
      <c r="A26" s="80" t="s">
        <v>192</v>
      </c>
      <c r="I26" s="80" t="s">
        <v>193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60"/>
      <c r="W26" s="60"/>
      <c r="X26" s="60"/>
      <c r="Y26" s="60"/>
    </row>
    <row r="27" spans="1:25" x14ac:dyDescent="0.3"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spans="1:25" x14ac:dyDescent="0.3"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0"/>
    </row>
    <row r="29" spans="1:25" x14ac:dyDescent="0.3">
      <c r="K29" s="51"/>
      <c r="L29" s="51"/>
      <c r="M29" s="51"/>
      <c r="N29" s="51"/>
      <c r="O29" s="51"/>
      <c r="P29" s="51"/>
      <c r="R29" s="51"/>
      <c r="S29" s="51"/>
      <c r="T29" s="53"/>
      <c r="U29" s="51"/>
      <c r="V29" s="51"/>
      <c r="W29" s="51"/>
      <c r="X29" s="51"/>
    </row>
    <row r="30" spans="1:25" x14ac:dyDescent="0.3"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60"/>
    </row>
    <row r="31" spans="1:25" x14ac:dyDescent="0.3"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</row>
    <row r="32" spans="1:25" x14ac:dyDescent="0.3">
      <c r="K32"/>
      <c r="Q32"/>
      <c r="R32"/>
      <c r="S32"/>
      <c r="T32"/>
      <c r="U32"/>
      <c r="V32"/>
      <c r="W32"/>
      <c r="X32"/>
    </row>
    <row r="33" spans="1:24" x14ac:dyDescent="0.3">
      <c r="K33"/>
      <c r="Q33"/>
      <c r="R33"/>
      <c r="S33"/>
      <c r="T33"/>
      <c r="U33"/>
      <c r="V33"/>
      <c r="W33"/>
      <c r="X33"/>
    </row>
    <row r="43" spans="1:24" x14ac:dyDescent="0.3">
      <c r="A43" s="80" t="s">
        <v>191</v>
      </c>
      <c r="I43" s="80" t="s">
        <v>190</v>
      </c>
    </row>
    <row r="58" spans="9:9" x14ac:dyDescent="0.3">
      <c r="I58" s="80"/>
    </row>
  </sheetData>
  <sheetProtection algorithmName="SHA-512" hashValue="6I54qRjZBUu0WOxAXMR4Omcz2KuHgAuaJw/mJ8Q/Em5r325w2DAtTHY2M8YSPErAWCFjcjrB0Zx8qnkR8hTSAQ==" saltValue="4n79+2eM5kIRnpHko+I10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J8" sqref="J8"/>
    </sheetView>
  </sheetViews>
  <sheetFormatPr defaultColWidth="8.77734375" defaultRowHeight="14.4" x14ac:dyDescent="0.3"/>
  <cols>
    <col min="1" max="1" width="16.88671875" style="1" customWidth="1"/>
    <col min="2" max="16384" width="8.77734375" style="1"/>
  </cols>
  <sheetData>
    <row r="1" spans="1:12" x14ac:dyDescent="0.3">
      <c r="A1" s="4" t="s">
        <v>229</v>
      </c>
    </row>
    <row r="2" spans="1:12" x14ac:dyDescent="0.3">
      <c r="A2" s="4" t="s">
        <v>230</v>
      </c>
    </row>
    <row r="3" spans="1:12" x14ac:dyDescent="0.3">
      <c r="A3" s="4" t="s">
        <v>231</v>
      </c>
    </row>
    <row r="5" spans="1:12" x14ac:dyDescent="0.3">
      <c r="A5" s="245" t="str">
        <f>'Hot Water Calcs'!I10</f>
        <v>elec</v>
      </c>
      <c r="B5" s="33">
        <f>IF('Hot Water Calcs'!I10="gas",nMEUL!B9,nMEUL!B8)</f>
        <v>0.92695536982527471</v>
      </c>
      <c r="C5" s="50">
        <f>1-B5</f>
        <v>7.3044630174725289E-2</v>
      </c>
      <c r="G5" s="38"/>
    </row>
    <row r="6" spans="1:12" x14ac:dyDescent="0.3">
      <c r="A6" s="129" t="s">
        <v>243</v>
      </c>
      <c r="B6" s="33"/>
    </row>
    <row r="7" spans="1:12" x14ac:dyDescent="0.3">
      <c r="A7" s="4" t="s">
        <v>24</v>
      </c>
      <c r="B7" s="2" t="s">
        <v>232</v>
      </c>
      <c r="C7" s="2" t="s">
        <v>233</v>
      </c>
      <c r="D7" s="2" t="s">
        <v>234</v>
      </c>
      <c r="E7" s="2" t="s">
        <v>235</v>
      </c>
      <c r="F7" s="2" t="s">
        <v>236</v>
      </c>
      <c r="G7" s="2" t="s">
        <v>237</v>
      </c>
      <c r="H7" s="2" t="s">
        <v>238</v>
      </c>
      <c r="I7" s="2" t="s">
        <v>239</v>
      </c>
      <c r="J7" s="2" t="s">
        <v>240</v>
      </c>
      <c r="K7" s="2" t="s">
        <v>241</v>
      </c>
      <c r="L7" s="2" t="s">
        <v>242</v>
      </c>
    </row>
    <row r="8" spans="1:12" x14ac:dyDescent="0.3">
      <c r="A8" s="4" t="s">
        <v>26</v>
      </c>
      <c r="B8" s="33">
        <f>E8/G8*I8</f>
        <v>0.92695536982527471</v>
      </c>
      <c r="C8" s="33">
        <f>D8*(E8/G8)</f>
        <v>5.6452258363675121</v>
      </c>
      <c r="D8" s="33">
        <f>EC_r/293.08</f>
        <v>6.4106031197274431</v>
      </c>
      <c r="E8" s="33">
        <f>(K8*J8-L8)*(F8*G8*H8)/(J8*D8)</f>
        <v>5.6467671949576461</v>
      </c>
      <c r="F8" s="33">
        <f>(EC_x+pumpkWh_y)/293</f>
        <v>5.9423429856500132</v>
      </c>
      <c r="G8" s="33">
        <f>EC_r/293</f>
        <v>6.4123534550502352</v>
      </c>
      <c r="H8" s="3">
        <v>1</v>
      </c>
      <c r="I8" s="1">
        <f>1/0.95</f>
        <v>1.0526315789473684</v>
      </c>
      <c r="J8" s="3">
        <f>1/EFuse</f>
        <v>1.0548523206751055</v>
      </c>
      <c r="K8" s="107">
        <v>0.95</v>
      </c>
      <c r="L8" s="107">
        <v>0</v>
      </c>
    </row>
    <row r="9" spans="1:12" x14ac:dyDescent="0.3">
      <c r="A9" s="4" t="s">
        <v>25</v>
      </c>
      <c r="B9" s="33">
        <f>E9/G9*I9</f>
        <v>0.32686446900986865</v>
      </c>
      <c r="C9" s="33">
        <f>D9*(E9/G9)</f>
        <v>38.075400233587956</v>
      </c>
      <c r="D9" s="33">
        <f>EC_r/10</f>
        <v>187.8819562329719</v>
      </c>
      <c r="E9" s="33">
        <f>(K9*J9-L9)*(F9*G9*H9)/(J9*D9)</f>
        <v>38.075400233587956</v>
      </c>
      <c r="F9" s="33">
        <f>EC_x/10+pumpkWh_y/293</f>
        <v>173.62771432596179</v>
      </c>
      <c r="G9" s="33">
        <f>EC_r/10</f>
        <v>187.8819562329719</v>
      </c>
      <c r="H9" s="3">
        <v>1</v>
      </c>
      <c r="I9" s="1">
        <f>1/0.62</f>
        <v>1.6129032258064517</v>
      </c>
      <c r="J9" s="3">
        <f>1/EFuse</f>
        <v>1.0548523206751055</v>
      </c>
      <c r="K9" s="107">
        <v>1.3774333333333331</v>
      </c>
      <c r="L9" s="107">
        <v>1.2216666666666662</v>
      </c>
    </row>
  </sheetData>
  <sheetProtection algorithmName="SHA-512" hashValue="iC7hfJWiHA7j4t8s/iSYT2OQGKHcf209NHVagNBTQ74Q60bhEUKOo1zHyyy24kraLpKdMiWqWCDtIE1YO2Q0sQ==" saltValue="SoI0FpcsZ5VXbV0srhiGUQ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E1" workbookViewId="0">
      <selection activeCell="V8" sqref="V8"/>
    </sheetView>
  </sheetViews>
  <sheetFormatPr defaultColWidth="8.77734375" defaultRowHeight="14.4" x14ac:dyDescent="0.3"/>
  <cols>
    <col min="1" max="4" width="8.77734375" style="1"/>
    <col min="5" max="5" width="1.6640625" style="1" customWidth="1"/>
    <col min="6" max="8" width="8.77734375" style="1"/>
    <col min="9" max="9" width="1.6640625" style="1" customWidth="1"/>
    <col min="10" max="12" width="8.77734375" style="1"/>
    <col min="13" max="13" width="1.6640625" style="1" customWidth="1"/>
    <col min="14" max="16" width="8.77734375" style="1"/>
    <col min="17" max="17" width="1.6640625" style="1" customWidth="1"/>
    <col min="18" max="20" width="8.77734375" style="1"/>
    <col min="21" max="21" width="1.6640625" style="1" customWidth="1"/>
    <col min="22" max="16384" width="8.77734375" style="1"/>
  </cols>
  <sheetData>
    <row r="1" spans="1:24" x14ac:dyDescent="0.3">
      <c r="A1" s="1" t="s">
        <v>244</v>
      </c>
    </row>
    <row r="2" spans="1:24" x14ac:dyDescent="0.3">
      <c r="B2" s="342" t="s">
        <v>28</v>
      </c>
      <c r="C2" s="343"/>
      <c r="D2" s="344"/>
      <c r="F2" s="342" t="s">
        <v>223</v>
      </c>
      <c r="G2" s="343"/>
      <c r="H2" s="344"/>
      <c r="J2" s="342" t="s">
        <v>219</v>
      </c>
      <c r="K2" s="343"/>
      <c r="L2" s="344"/>
      <c r="N2" s="342" t="s">
        <v>245</v>
      </c>
      <c r="O2" s="343"/>
      <c r="P2" s="344"/>
      <c r="R2" s="342" t="s">
        <v>217</v>
      </c>
      <c r="S2" s="343"/>
      <c r="T2" s="344"/>
      <c r="V2" s="342" t="s">
        <v>218</v>
      </c>
      <c r="W2" s="343"/>
      <c r="X2" s="344"/>
    </row>
    <row r="3" spans="1:24" x14ac:dyDescent="0.3">
      <c r="B3" s="247" t="s">
        <v>246</v>
      </c>
      <c r="C3" s="248" t="s">
        <v>247</v>
      </c>
      <c r="D3" s="249" t="s">
        <v>248</v>
      </c>
      <c r="F3" s="247" t="s">
        <v>246</v>
      </c>
      <c r="G3" s="248" t="s">
        <v>247</v>
      </c>
      <c r="H3" s="249" t="s">
        <v>248</v>
      </c>
      <c r="J3" s="247" t="s">
        <v>246</v>
      </c>
      <c r="K3" s="248" t="s">
        <v>247</v>
      </c>
      <c r="L3" s="249" t="s">
        <v>248</v>
      </c>
      <c r="N3" s="247" t="s">
        <v>246</v>
      </c>
      <c r="O3" s="248" t="s">
        <v>247</v>
      </c>
      <c r="P3" s="249" t="s">
        <v>248</v>
      </c>
      <c r="R3" s="247" t="s">
        <v>246</v>
      </c>
      <c r="S3" s="248" t="s">
        <v>247</v>
      </c>
      <c r="T3" s="249" t="s">
        <v>248</v>
      </c>
      <c r="V3" s="247" t="s">
        <v>246</v>
      </c>
      <c r="W3" s="248" t="s">
        <v>247</v>
      </c>
      <c r="X3" s="249" t="s">
        <v>248</v>
      </c>
    </row>
    <row r="4" spans="1:24" x14ac:dyDescent="0.3">
      <c r="A4" s="1" t="s">
        <v>249</v>
      </c>
      <c r="B4" s="250">
        <v>2.4700000000000002</v>
      </c>
      <c r="C4" s="251">
        <v>1.56</v>
      </c>
      <c r="D4" s="252">
        <f>C4/B4</f>
        <v>0.63157894736842102</v>
      </c>
      <c r="F4" s="253">
        <v>7</v>
      </c>
      <c r="G4" s="254">
        <v>5.09</v>
      </c>
      <c r="H4" s="252">
        <f>G4/F4</f>
        <v>0.72714285714285709</v>
      </c>
      <c r="J4" s="253">
        <v>7.22</v>
      </c>
      <c r="K4" s="254">
        <v>5.22</v>
      </c>
      <c r="L4" s="252">
        <f>K4/J4</f>
        <v>0.7229916897506925</v>
      </c>
      <c r="N4" s="253">
        <v>8.43</v>
      </c>
      <c r="O4" s="254">
        <v>6.07</v>
      </c>
      <c r="P4" s="252">
        <f>O4/N4</f>
        <v>0.72004744958481615</v>
      </c>
      <c r="R4" s="253">
        <v>14.41</v>
      </c>
      <c r="S4" s="254">
        <v>10.75</v>
      </c>
      <c r="T4" s="252">
        <f>S4/R4</f>
        <v>0.74600971547536432</v>
      </c>
      <c r="V4" s="253">
        <v>16.95</v>
      </c>
      <c r="W4" s="254">
        <v>12.29</v>
      </c>
      <c r="X4" s="252">
        <f>W4/V4</f>
        <v>0.7250737463126844</v>
      </c>
    </row>
    <row r="5" spans="1:24" x14ac:dyDescent="0.3">
      <c r="A5" s="1" t="s">
        <v>250</v>
      </c>
      <c r="B5" s="250">
        <v>85.19</v>
      </c>
      <c r="C5" s="251">
        <v>68.709999999999994</v>
      </c>
      <c r="D5" s="252">
        <f t="shared" ref="D5:D7" si="0">C5/B5</f>
        <v>0.80655006456156819</v>
      </c>
      <c r="F5" s="253">
        <v>67.41</v>
      </c>
      <c r="G5" s="254">
        <v>55.27</v>
      </c>
      <c r="H5" s="252">
        <f t="shared" ref="H5:H7" si="1">G5/F5</f>
        <v>0.81990802551550224</v>
      </c>
      <c r="J5" s="253">
        <v>61.08</v>
      </c>
      <c r="K5" s="254">
        <v>49.62</v>
      </c>
      <c r="L5" s="252">
        <f t="shared" ref="L5:L7" si="2">K5/J5</f>
        <v>0.81237721021610998</v>
      </c>
      <c r="N5" s="253">
        <v>58.27</v>
      </c>
      <c r="O5" s="254">
        <v>47.92</v>
      </c>
      <c r="P5" s="252">
        <f t="shared" ref="P5:P7" si="3">O5/N5</f>
        <v>0.82237858246095763</v>
      </c>
      <c r="R5" s="253">
        <v>51.35</v>
      </c>
      <c r="S5" s="254">
        <v>42.15</v>
      </c>
      <c r="T5" s="252">
        <f t="shared" ref="T5:T7" si="4">S5/R5</f>
        <v>0.82083739045764359</v>
      </c>
      <c r="V5" s="253">
        <v>49.34</v>
      </c>
      <c r="W5" s="254">
        <v>39.89</v>
      </c>
      <c r="X5" s="252">
        <f t="shared" ref="X5:X7" si="5">W5/V5</f>
        <v>0.80847182813133356</v>
      </c>
    </row>
    <row r="6" spans="1:24" x14ac:dyDescent="0.3">
      <c r="A6" s="1" t="s">
        <v>251</v>
      </c>
      <c r="B6" s="250">
        <v>6.89</v>
      </c>
      <c r="C6" s="251">
        <v>6.89</v>
      </c>
      <c r="D6" s="252">
        <f t="shared" si="0"/>
        <v>1</v>
      </c>
      <c r="F6" s="253">
        <v>7.61</v>
      </c>
      <c r="G6" s="254">
        <v>7.61</v>
      </c>
      <c r="H6" s="252">
        <f t="shared" si="1"/>
        <v>1</v>
      </c>
      <c r="J6" s="253">
        <v>7.74</v>
      </c>
      <c r="K6" s="254">
        <v>7.74</v>
      </c>
      <c r="L6" s="252">
        <f t="shared" si="2"/>
        <v>1</v>
      </c>
      <c r="N6" s="253">
        <v>7.94</v>
      </c>
      <c r="O6" s="254">
        <v>7.94</v>
      </c>
      <c r="P6" s="252">
        <f t="shared" si="3"/>
        <v>1</v>
      </c>
      <c r="R6" s="253">
        <v>8.39</v>
      </c>
      <c r="S6" s="254">
        <v>8.39</v>
      </c>
      <c r="T6" s="252">
        <f t="shared" si="4"/>
        <v>1</v>
      </c>
      <c r="V6" s="253">
        <v>8.58</v>
      </c>
      <c r="W6" s="254">
        <v>8.58</v>
      </c>
      <c r="X6" s="252">
        <f t="shared" si="5"/>
        <v>1</v>
      </c>
    </row>
    <row r="7" spans="1:24" x14ac:dyDescent="0.3">
      <c r="A7" s="1" t="s">
        <v>252</v>
      </c>
      <c r="B7" s="255">
        <f>SUM(B4:B6)</f>
        <v>94.55</v>
      </c>
      <c r="C7" s="256">
        <f>SUM(C4:C6)</f>
        <v>77.16</v>
      </c>
      <c r="D7" s="257">
        <f t="shared" si="0"/>
        <v>0.81607615018508728</v>
      </c>
      <c r="F7" s="255">
        <f>SUM(F4:F6)</f>
        <v>82.02</v>
      </c>
      <c r="G7" s="256">
        <f>SUM(G4:G6)</f>
        <v>67.97</v>
      </c>
      <c r="H7" s="257">
        <f t="shared" si="1"/>
        <v>0.82870031699585467</v>
      </c>
      <c r="J7" s="255">
        <f>SUM(J4:J6)</f>
        <v>76.039999999999992</v>
      </c>
      <c r="K7" s="256">
        <f>SUM(K4:K6)</f>
        <v>62.58</v>
      </c>
      <c r="L7" s="257">
        <f t="shared" si="2"/>
        <v>0.82298790110468178</v>
      </c>
      <c r="N7" s="255">
        <f>SUM(N4:N6)</f>
        <v>74.64</v>
      </c>
      <c r="O7" s="256">
        <f>SUM(O4:O6)</f>
        <v>61.93</v>
      </c>
      <c r="P7" s="257">
        <f t="shared" si="3"/>
        <v>0.82971596998928188</v>
      </c>
      <c r="R7" s="255">
        <f>SUM(R4:R6)</f>
        <v>74.150000000000006</v>
      </c>
      <c r="S7" s="256">
        <f>SUM(S4:S6)</f>
        <v>61.29</v>
      </c>
      <c r="T7" s="257">
        <f t="shared" si="4"/>
        <v>0.82656776803776122</v>
      </c>
      <c r="V7" s="255">
        <f>SUM(V4:V6)</f>
        <v>74.87</v>
      </c>
      <c r="W7" s="256">
        <f>SUM(W4:W6)</f>
        <v>60.76</v>
      </c>
      <c r="X7" s="257">
        <f t="shared" si="5"/>
        <v>0.81154000267129689</v>
      </c>
    </row>
    <row r="8" spans="1:24" x14ac:dyDescent="0.3">
      <c r="A8" s="1" t="s">
        <v>253</v>
      </c>
      <c r="B8" s="258">
        <f>B6/B7</f>
        <v>7.2871496562665256E-2</v>
      </c>
      <c r="F8" s="258">
        <f>F6/F7</f>
        <v>9.2782248232138514E-2</v>
      </c>
      <c r="J8" s="258">
        <f>J6/J7</f>
        <v>0.10178853235139401</v>
      </c>
      <c r="N8" s="258">
        <f>N6/N7</f>
        <v>0.10637727759914256</v>
      </c>
      <c r="R8" s="258">
        <f>R6/R7</f>
        <v>0.11314902225219151</v>
      </c>
      <c r="V8" s="258">
        <f>V6/V7</f>
        <v>0.11459863763857352</v>
      </c>
    </row>
  </sheetData>
  <sheetProtection algorithmName="SHA-512" hashValue="m4iIvCuDhTiLogfgVRGPQq9+Uq4GgP/13t4qziOgFMRUcVWhua2/yQGKMVG/X4g/kmj6iKJiMD8n9dOZGCOoLw==" saltValue="yyz6CnYg1yVX0639gruLPQ==" spinCount="100000" sheet="1" objects="1" scenarios="1"/>
  <mergeCells count="6">
    <mergeCell ref="V2:X2"/>
    <mergeCell ref="B2:D2"/>
    <mergeCell ref="F2:H2"/>
    <mergeCell ref="J2:L2"/>
    <mergeCell ref="N2:P2"/>
    <mergeCell ref="R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86</vt:i4>
      </vt:variant>
    </vt:vector>
  </HeadingPairs>
  <TitlesOfParts>
    <vt:vector size="93" baseType="lpstr">
      <vt:lpstr>Hot Water Calcs</vt:lpstr>
      <vt:lpstr>Monthly Calcs</vt:lpstr>
      <vt:lpstr>UAtank</vt:lpstr>
      <vt:lpstr>Tmains</vt:lpstr>
      <vt:lpstr>gpd</vt:lpstr>
      <vt:lpstr>nMEUL</vt:lpstr>
      <vt:lpstr>HW%</vt:lpstr>
      <vt:lpstr>ACY</vt:lpstr>
      <vt:lpstr>adjFmix</vt:lpstr>
      <vt:lpstr>AGC</vt:lpstr>
      <vt:lpstr>branchL</vt:lpstr>
      <vt:lpstr>Bsmt</vt:lpstr>
      <vt:lpstr>CAPw</vt:lpstr>
      <vt:lpstr>CFA</vt:lpstr>
      <vt:lpstr>CWgpd</vt:lpstr>
      <vt:lpstr>den</vt:lpstr>
      <vt:lpstr>DW_EF</vt:lpstr>
      <vt:lpstr>dWcap</vt:lpstr>
      <vt:lpstr>DWgpd</vt:lpstr>
      <vt:lpstr>DWHReff</vt:lpstr>
      <vt:lpstr>DWHRinT</vt:lpstr>
      <vt:lpstr>e_mult</vt:lpstr>
      <vt:lpstr>E_Stdby</vt:lpstr>
      <vt:lpstr>EC_r</vt:lpstr>
      <vt:lpstr>EC_x</vt:lpstr>
      <vt:lpstr>EDeff</vt:lpstr>
      <vt:lpstr>EFuse</vt:lpstr>
      <vt:lpstr>eRatio</vt:lpstr>
      <vt:lpstr>eRE</vt:lpstr>
      <vt:lpstr>Ewaste</vt:lpstr>
      <vt:lpstr>Feff</vt:lpstr>
      <vt:lpstr>FixF</vt:lpstr>
      <vt:lpstr>Fmix</vt:lpstr>
      <vt:lpstr>g_mult</vt:lpstr>
      <vt:lpstr>gdp_ratio</vt:lpstr>
      <vt:lpstr>gpd</vt:lpstr>
      <vt:lpstr>gRE</vt:lpstr>
      <vt:lpstr>Heat_Trap</vt:lpstr>
      <vt:lpstr>HW_Climate_factor</vt:lpstr>
      <vt:lpstr>HWgpd</vt:lpstr>
      <vt:lpstr>Ifrac</vt:lpstr>
      <vt:lpstr>kWh_cost</vt:lpstr>
      <vt:lpstr>lb_gal</vt:lpstr>
      <vt:lpstr>LER</vt:lpstr>
      <vt:lpstr>LocF</vt:lpstr>
      <vt:lpstr>loopL</vt:lpstr>
      <vt:lpstr>mCp∆T</vt:lpstr>
      <vt:lpstr>Nbr</vt:lpstr>
      <vt:lpstr>NCY</vt:lpstr>
      <vt:lpstr>Ndu</vt:lpstr>
      <vt:lpstr>NE_Stdby</vt:lpstr>
      <vt:lpstr>Nfl</vt:lpstr>
      <vt:lpstr>oCDeff</vt:lpstr>
      <vt:lpstr>oEWfact</vt:lpstr>
      <vt:lpstr>oFrac</vt:lpstr>
      <vt:lpstr>oWgdp</vt:lpstr>
      <vt:lpstr>PipeL</vt:lpstr>
      <vt:lpstr>PLC</vt:lpstr>
      <vt:lpstr>PLCfact</vt:lpstr>
      <vt:lpstr>pLength</vt:lpstr>
      <vt:lpstr>pRatio</vt:lpstr>
      <vt:lpstr>pumpkWh_y</vt:lpstr>
      <vt:lpstr>pumpW</vt:lpstr>
      <vt:lpstr>ratedEFe</vt:lpstr>
      <vt:lpstr>ratedEFg</vt:lpstr>
      <vt:lpstr>Recovery</vt:lpstr>
      <vt:lpstr>refCWgpd</vt:lpstr>
      <vt:lpstr>refDWgpd</vt:lpstr>
      <vt:lpstr>refFgpd</vt:lpstr>
      <vt:lpstr>refHWgpd</vt:lpstr>
      <vt:lpstr>refLoopL</vt:lpstr>
      <vt:lpstr>refPipeL</vt:lpstr>
      <vt:lpstr>refWgpd</vt:lpstr>
      <vt:lpstr>sEWfact</vt:lpstr>
      <vt:lpstr>sWgdp</vt:lpstr>
      <vt:lpstr>sysFactor</vt:lpstr>
      <vt:lpstr>Tamb</vt:lpstr>
      <vt:lpstr>Tavg</vt:lpstr>
      <vt:lpstr>Tenv</vt:lpstr>
      <vt:lpstr>therm_cost</vt:lpstr>
      <vt:lpstr>therms_y</vt:lpstr>
      <vt:lpstr>Tin</vt:lpstr>
      <vt:lpstr>Tmains</vt:lpstr>
      <vt:lpstr>Tmains_offset</vt:lpstr>
      <vt:lpstr>Tset</vt:lpstr>
      <vt:lpstr>Ttank</vt:lpstr>
      <vt:lpstr>Tuse</vt:lpstr>
      <vt:lpstr>UA_Wrap</vt:lpstr>
      <vt:lpstr>VC</vt:lpstr>
      <vt:lpstr>VintFact</vt:lpstr>
      <vt:lpstr>WDeff</vt:lpstr>
      <vt:lpstr>WHinT</vt:lpstr>
      <vt:lpstr>WHinTadj</vt:lpstr>
    </vt:vector>
  </TitlesOfParts>
  <Company>Architectural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Jeff Sonne</cp:lastModifiedBy>
  <cp:lastPrinted>2015-06-18T16:53:10Z</cp:lastPrinted>
  <dcterms:created xsi:type="dcterms:W3CDTF">2014-02-20T17:36:44Z</dcterms:created>
  <dcterms:modified xsi:type="dcterms:W3CDTF">2017-06-01T22:46:37Z</dcterms:modified>
</cp:coreProperties>
</file>